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aschwartz/Desktop/A_CURRENT/Decision tree/Current/"/>
    </mc:Choice>
  </mc:AlternateContent>
  <xr:revisionPtr revIDLastSave="0" documentId="13_ncr:1_{7420AD02-A3D3-D646-9B12-A12720C0042C}" xr6:coauthVersionLast="40" xr6:coauthVersionMax="40" xr10:uidLastSave="{00000000-0000-0000-0000-000000000000}"/>
  <bookViews>
    <workbookView xWindow="1160" yWindow="460" windowWidth="32440" windowHeight="20440" xr2:uid="{00000000-000D-0000-FFFF-FFFF00000000}"/>
  </bookViews>
  <sheets>
    <sheet name="Source" sheetId="2" r:id="rId1"/>
    <sheet name="TestDrugs" sheetId="5" r:id="rId2"/>
    <sheet name="DrugNames" sheetId="3" r:id="rId3"/>
    <sheet name="TestInfo" sheetId="14" r:id="rId4"/>
    <sheet name="Text" sheetId="10" r:id="rId5"/>
  </sheets>
  <definedNames>
    <definedName name="_xlnm.Print_Area" localSheetId="3">TestInfo!$C$49:$C$82</definedName>
  </definedNames>
  <calcPr calcId="191029"/>
  <customWorkbookViews>
    <customWorkbookView name="Alana Schwartz - Personal View" guid="{21483412-A8AF-444E-A677-2FA27F9C6D8D}" mergeInterval="0" personalView="1" windowWidth="834" windowHeight="773" activeSheetId="2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5" l="1"/>
  <c r="B32" i="5"/>
  <c r="C31" i="5"/>
  <c r="B31" i="5"/>
  <c r="C30" i="5"/>
  <c r="B30" i="5"/>
  <c r="B29" i="5"/>
  <c r="C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C17" i="5"/>
  <c r="B17" i="5"/>
  <c r="C16" i="5"/>
  <c r="B16" i="5"/>
  <c r="C15" i="5"/>
  <c r="B15" i="5"/>
  <c r="C14" i="5"/>
  <c r="B14" i="5"/>
  <c r="C13" i="5"/>
  <c r="B13" i="5"/>
  <c r="C12" i="5"/>
  <c r="B12" i="5"/>
  <c r="C11" i="5"/>
  <c r="B11" i="5"/>
  <c r="C10" i="5"/>
  <c r="B10" i="5"/>
  <c r="C9" i="5"/>
  <c r="B9" i="5"/>
  <c r="C6" i="5"/>
  <c r="B6" i="5"/>
  <c r="C3" i="5"/>
  <c r="B3" i="5"/>
  <c r="B2" i="5"/>
  <c r="B79" i="3" l="1"/>
  <c r="B78" i="3"/>
  <c r="B75" i="3"/>
  <c r="B71" i="3"/>
  <c r="B66" i="3"/>
  <c r="B63" i="3"/>
  <c r="B60" i="3"/>
  <c r="B57" i="3"/>
  <c r="B54" i="3"/>
  <c r="B52" i="3"/>
  <c r="B50" i="3"/>
  <c r="B49" i="3"/>
  <c r="B47" i="3"/>
  <c r="B40" i="3"/>
  <c r="B33" i="3"/>
  <c r="B32" i="3"/>
  <c r="B31" i="3"/>
  <c r="B29" i="3"/>
  <c r="B28" i="3"/>
  <c r="B26" i="3"/>
  <c r="B24" i="3"/>
  <c r="B21" i="3"/>
  <c r="B20" i="3"/>
  <c r="B18" i="3"/>
  <c r="B16" i="3"/>
  <c r="B13" i="3"/>
  <c r="B5" i="3"/>
  <c r="B4" i="3"/>
  <c r="J17" i="2" l="1"/>
  <c r="I14" i="2"/>
  <c r="I13" i="2"/>
  <c r="I12" i="2"/>
  <c r="I11" i="2"/>
  <c r="I10" i="2"/>
  <c r="B8" i="5"/>
  <c r="C8" i="5"/>
  <c r="J9" i="2" s="1"/>
  <c r="C7" i="5"/>
  <c r="J8" i="2" s="1"/>
  <c r="B7" i="5"/>
  <c r="I7" i="2"/>
  <c r="I4" i="2"/>
  <c r="I3" i="2"/>
  <c r="C2" i="5"/>
  <c r="J3" i="2" s="1"/>
  <c r="Q31" i="2"/>
  <c r="R31" i="2"/>
  <c r="Q32" i="2"/>
  <c r="R32" i="2"/>
  <c r="Q33" i="2"/>
  <c r="R33" i="2"/>
  <c r="Q26" i="2"/>
  <c r="R26" i="2"/>
  <c r="Q27" i="2"/>
  <c r="R27" i="2"/>
  <c r="Q28" i="2"/>
  <c r="R28" i="2"/>
  <c r="Q29" i="2"/>
  <c r="R29" i="2"/>
  <c r="Q30" i="2"/>
  <c r="R30" i="2"/>
  <c r="Q21" i="2"/>
  <c r="R21" i="2"/>
  <c r="Q22" i="2"/>
  <c r="R22" i="2"/>
  <c r="Q23" i="2"/>
  <c r="R23" i="2"/>
  <c r="Q24" i="2"/>
  <c r="R24" i="2"/>
  <c r="Q25" i="2"/>
  <c r="R25" i="2"/>
  <c r="Q18" i="2"/>
  <c r="R18" i="2"/>
  <c r="Q19" i="2"/>
  <c r="R19" i="2"/>
  <c r="Q20" i="2"/>
  <c r="R2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4" i="2"/>
  <c r="R4" i="2"/>
  <c r="Q5" i="2"/>
  <c r="R5" i="2"/>
  <c r="Q6" i="2"/>
  <c r="R6" i="2"/>
  <c r="Q7" i="2"/>
  <c r="R7" i="2"/>
  <c r="Q8" i="2"/>
  <c r="R8" i="2"/>
  <c r="Q9" i="2"/>
  <c r="R9" i="2"/>
  <c r="Q10" i="2"/>
  <c r="R10" i="2"/>
  <c r="R3" i="2"/>
  <c r="Q3" i="2"/>
  <c r="P29" i="2"/>
  <c r="P30" i="2"/>
  <c r="P31" i="2"/>
  <c r="P32" i="2"/>
  <c r="P33" i="2"/>
  <c r="P23" i="2"/>
  <c r="P24" i="2"/>
  <c r="P25" i="2"/>
  <c r="P26" i="2"/>
  <c r="P27" i="2"/>
  <c r="P28" i="2"/>
  <c r="P18" i="2"/>
  <c r="P19" i="2"/>
  <c r="P20" i="2"/>
  <c r="P21" i="2"/>
  <c r="P22" i="2"/>
  <c r="P12" i="2"/>
  <c r="P13" i="2"/>
  <c r="P14" i="2"/>
  <c r="P15" i="2"/>
  <c r="P16" i="2"/>
  <c r="P17" i="2"/>
  <c r="P5" i="2"/>
  <c r="P6" i="2"/>
  <c r="P7" i="2"/>
  <c r="P8" i="2"/>
  <c r="P9" i="2"/>
  <c r="P10" i="2"/>
  <c r="P11" i="2"/>
  <c r="P4" i="2"/>
  <c r="P3" i="2"/>
  <c r="F30" i="14"/>
  <c r="F22" i="14"/>
  <c r="F15" i="14"/>
  <c r="F16" i="2" s="1"/>
  <c r="F16" i="14"/>
  <c r="I33" i="2"/>
  <c r="I31" i="2"/>
  <c r="I27" i="2"/>
  <c r="I24" i="2"/>
  <c r="I22" i="2"/>
  <c r="I18" i="2"/>
  <c r="I16" i="2"/>
  <c r="F7" i="14"/>
  <c r="C5" i="2"/>
  <c r="B5" i="5"/>
  <c r="I6" i="2" s="1"/>
  <c r="C4" i="5"/>
  <c r="J5" i="2" s="1"/>
  <c r="C5" i="5"/>
  <c r="J6" i="2" s="1"/>
  <c r="J16" i="2"/>
  <c r="F3" i="14"/>
  <c r="F4" i="2" s="1"/>
  <c r="F4" i="14"/>
  <c r="F5" i="2" s="1"/>
  <c r="F5" i="14"/>
  <c r="F6" i="2" s="1"/>
  <c r="B4" i="5"/>
  <c r="I5" i="2" s="1"/>
  <c r="F11" i="14"/>
  <c r="F12" i="2" s="1"/>
  <c r="O3" i="2"/>
  <c r="N33" i="2"/>
  <c r="O33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4" i="2"/>
  <c r="O4" i="2"/>
  <c r="N5" i="2"/>
  <c r="O5" i="2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3" i="2"/>
  <c r="I8" i="2"/>
  <c r="I9" i="2"/>
  <c r="I15" i="2"/>
  <c r="I17" i="2"/>
  <c r="I32" i="2"/>
  <c r="F26" i="14"/>
  <c r="F27" i="2" s="1"/>
  <c r="G27" i="2"/>
  <c r="H27" i="2"/>
  <c r="F27" i="14"/>
  <c r="F28" i="2" s="1"/>
  <c r="G28" i="2"/>
  <c r="H28" i="2"/>
  <c r="F28" i="14"/>
  <c r="F29" i="2" s="1"/>
  <c r="G29" i="2"/>
  <c r="H29" i="2"/>
  <c r="F29" i="14"/>
  <c r="F30" i="2" s="1"/>
  <c r="G30" i="2"/>
  <c r="H30" i="2"/>
  <c r="F31" i="2"/>
  <c r="G31" i="2"/>
  <c r="H31" i="2"/>
  <c r="F31" i="14"/>
  <c r="F32" i="2" s="1"/>
  <c r="G32" i="2"/>
  <c r="H32" i="2"/>
  <c r="F32" i="14"/>
  <c r="F33" i="2" s="1"/>
  <c r="G33" i="2"/>
  <c r="H33" i="2"/>
  <c r="F17" i="14"/>
  <c r="F18" i="2" s="1"/>
  <c r="G18" i="2"/>
  <c r="H18" i="2"/>
  <c r="F18" i="14"/>
  <c r="F19" i="2" s="1"/>
  <c r="G19" i="2"/>
  <c r="H19" i="2"/>
  <c r="F19" i="14"/>
  <c r="F20" i="2" s="1"/>
  <c r="G20" i="2"/>
  <c r="H20" i="2"/>
  <c r="F20" i="14"/>
  <c r="F21" i="2" s="1"/>
  <c r="G21" i="2"/>
  <c r="H21" i="2"/>
  <c r="F21" i="14"/>
  <c r="F22" i="2" s="1"/>
  <c r="G22" i="2"/>
  <c r="H22" i="2"/>
  <c r="F23" i="2"/>
  <c r="G23" i="2"/>
  <c r="H23" i="2"/>
  <c r="F23" i="14"/>
  <c r="F24" i="2" s="1"/>
  <c r="G24" i="2"/>
  <c r="H24" i="2"/>
  <c r="F24" i="14"/>
  <c r="F25" i="2" s="1"/>
  <c r="G25" i="2"/>
  <c r="H25" i="2"/>
  <c r="F25" i="14"/>
  <c r="F26" i="2" s="1"/>
  <c r="G26" i="2"/>
  <c r="H26" i="2"/>
  <c r="G4" i="2"/>
  <c r="H4" i="2"/>
  <c r="G5" i="2"/>
  <c r="H5" i="2"/>
  <c r="G6" i="2"/>
  <c r="H6" i="2"/>
  <c r="F6" i="14"/>
  <c r="F7" i="2" s="1"/>
  <c r="G7" i="2"/>
  <c r="H7" i="2"/>
  <c r="F8" i="2"/>
  <c r="G8" i="2"/>
  <c r="H8" i="2"/>
  <c r="F8" i="14"/>
  <c r="F9" i="2" s="1"/>
  <c r="G9" i="2"/>
  <c r="H9" i="2"/>
  <c r="F9" i="14"/>
  <c r="F10" i="2" s="1"/>
  <c r="G10" i="2"/>
  <c r="H10" i="2"/>
  <c r="F10" i="14"/>
  <c r="F11" i="2" s="1"/>
  <c r="G11" i="2"/>
  <c r="H11" i="2"/>
  <c r="G12" i="2"/>
  <c r="H12" i="2"/>
  <c r="F12" i="14"/>
  <c r="F13" i="2" s="1"/>
  <c r="G13" i="2"/>
  <c r="H13" i="2"/>
  <c r="F13" i="14"/>
  <c r="F14" i="2" s="1"/>
  <c r="G14" i="2"/>
  <c r="H14" i="2"/>
  <c r="F14" i="14"/>
  <c r="F15" i="2" s="1"/>
  <c r="G15" i="2"/>
  <c r="H15" i="2"/>
  <c r="G16" i="2"/>
  <c r="H16" i="2"/>
  <c r="F17" i="2"/>
  <c r="G17" i="2"/>
  <c r="H17" i="2"/>
  <c r="H3" i="2"/>
  <c r="G3" i="2"/>
  <c r="F2" i="14"/>
  <c r="F3" i="2" s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" i="2"/>
  <c r="D28" i="2"/>
  <c r="D29" i="2"/>
  <c r="D30" i="2"/>
  <c r="D31" i="2"/>
  <c r="D32" i="2"/>
  <c r="D3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3" i="2"/>
  <c r="C23" i="2"/>
  <c r="C24" i="2"/>
  <c r="C25" i="2"/>
  <c r="C26" i="2"/>
  <c r="C27" i="2"/>
  <c r="C28" i="2"/>
  <c r="C29" i="2"/>
  <c r="C30" i="2"/>
  <c r="C31" i="2"/>
  <c r="C32" i="2"/>
  <c r="C33" i="2"/>
  <c r="C18" i="2"/>
  <c r="C19" i="2"/>
  <c r="C20" i="2"/>
  <c r="C21" i="2"/>
  <c r="C22" i="2"/>
  <c r="C7" i="2"/>
  <c r="C8" i="2"/>
  <c r="C9" i="2"/>
  <c r="C10" i="2"/>
  <c r="C11" i="2"/>
  <c r="C12" i="2"/>
  <c r="C13" i="2"/>
  <c r="C14" i="2"/>
  <c r="C15" i="2"/>
  <c r="C16" i="2"/>
  <c r="C17" i="2"/>
  <c r="C4" i="2"/>
  <c r="B23" i="2"/>
  <c r="B24" i="2"/>
  <c r="B25" i="2"/>
  <c r="B26" i="2"/>
  <c r="B27" i="2"/>
  <c r="B28" i="2"/>
  <c r="B29" i="2"/>
  <c r="B30" i="2"/>
  <c r="B31" i="2"/>
  <c r="B32" i="2"/>
  <c r="B33" i="2"/>
  <c r="B17" i="2"/>
  <c r="B18" i="2"/>
  <c r="B19" i="2"/>
  <c r="B20" i="2"/>
  <c r="B21" i="2"/>
  <c r="B22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3" i="2"/>
  <c r="C6" i="2"/>
  <c r="C3" i="2"/>
  <c r="I21" i="2" l="1"/>
  <c r="J22" i="2"/>
  <c r="J25" i="2"/>
  <c r="I26" i="2"/>
  <c r="I23" i="2"/>
  <c r="I25" i="2"/>
  <c r="I19" i="2"/>
  <c r="I30" i="2"/>
  <c r="I28" i="2"/>
  <c r="I20" i="2"/>
  <c r="I29" i="2"/>
  <c r="J24" i="2"/>
  <c r="J4" i="2"/>
  <c r="J18" i="2"/>
  <c r="J15" i="2"/>
  <c r="J33" i="2"/>
  <c r="J10" i="2"/>
  <c r="J14" i="2"/>
  <c r="J32" i="2"/>
  <c r="J19" i="2"/>
  <c r="J23" i="2"/>
  <c r="J7" i="2"/>
  <c r="J11" i="2"/>
  <c r="J12" i="2"/>
  <c r="J13" i="2"/>
  <c r="J20" i="2" l="1"/>
  <c r="J27" i="2"/>
  <c r="J30" i="2"/>
  <c r="J21" i="2"/>
  <c r="J31" i="2"/>
  <c r="J28" i="2"/>
  <c r="J29" i="2"/>
  <c r="J26" i="2"/>
</calcChain>
</file>

<file path=xl/sharedStrings.xml><?xml version="1.0" encoding="utf-8"?>
<sst xmlns="http://schemas.openxmlformats.org/spreadsheetml/2006/main" count="1188" uniqueCount="488">
  <si>
    <t>Drug Name</t>
  </si>
  <si>
    <t>Ampicillin</t>
  </si>
  <si>
    <t>Animal</t>
  </si>
  <si>
    <t>SLBL</t>
  </si>
  <si>
    <t>Amoxicillin</t>
  </si>
  <si>
    <t>Ceftiofur</t>
  </si>
  <si>
    <t>EXCEDE</t>
  </si>
  <si>
    <t>Naxcel Sterile Powder</t>
  </si>
  <si>
    <t>MRLBL</t>
  </si>
  <si>
    <t>MRLBLTET</t>
  </si>
  <si>
    <t>Test</t>
  </si>
  <si>
    <t>FLUSLBL</t>
  </si>
  <si>
    <t>TRIO</t>
  </si>
  <si>
    <t>QUAD1</t>
  </si>
  <si>
    <t>MRLBL3</t>
  </si>
  <si>
    <t>MRLBLTET2</t>
  </si>
  <si>
    <t>Penicillin G</t>
  </si>
  <si>
    <t>Combi-Pen -48</t>
  </si>
  <si>
    <t>Bactracillin G</t>
  </si>
  <si>
    <t>Norocillin</t>
  </si>
  <si>
    <t>Penicillin Injectable</t>
  </si>
  <si>
    <t>PenOne Pro</t>
  </si>
  <si>
    <t>Aflatoxin</t>
  </si>
  <si>
    <t>QUAD</t>
  </si>
  <si>
    <t>Cefoperazone</t>
  </si>
  <si>
    <t>Cefquinome</t>
  </si>
  <si>
    <t>Cephapirin</t>
  </si>
  <si>
    <t>Tomorrow Infusion</t>
  </si>
  <si>
    <t>Today</t>
  </si>
  <si>
    <t>SLAFMQ</t>
  </si>
  <si>
    <t>Chlortetracycline</t>
  </si>
  <si>
    <t>Pennchlor</t>
  </si>
  <si>
    <t>TET</t>
  </si>
  <si>
    <t>TET-SL</t>
  </si>
  <si>
    <t>Cloxacillin</t>
  </si>
  <si>
    <t>Dry-Clox</t>
  </si>
  <si>
    <t>Dariclox</t>
  </si>
  <si>
    <t>Enrofloxacin</t>
  </si>
  <si>
    <t>Baytril 100</t>
  </si>
  <si>
    <t>Enroflox 100</t>
  </si>
  <si>
    <t>Flunixin</t>
  </si>
  <si>
    <t>Banamine</t>
  </si>
  <si>
    <t>Flunazine</t>
  </si>
  <si>
    <t>Flunixin Injection</t>
  </si>
  <si>
    <t>Prevail</t>
  </si>
  <si>
    <t>VetaMeg</t>
  </si>
  <si>
    <t>Hetacillin</t>
  </si>
  <si>
    <t>Oxytetracycline</t>
  </si>
  <si>
    <t>300 PRO LA</t>
  </si>
  <si>
    <t>Noromycin 300 LA</t>
  </si>
  <si>
    <t>Pirlimycin</t>
  </si>
  <si>
    <t>Pirsue Sterile Solution</t>
  </si>
  <si>
    <t>QUAD2</t>
  </si>
  <si>
    <t>Erithromycin</t>
  </si>
  <si>
    <t>Sulfachlorpyridazine</t>
  </si>
  <si>
    <t>SULF</t>
  </si>
  <si>
    <t>Sulfadiazaine</t>
  </si>
  <si>
    <t>Sulfadimethoxine</t>
  </si>
  <si>
    <t>Sulfadoxine</t>
  </si>
  <si>
    <t>Sulfamerazine</t>
  </si>
  <si>
    <t>Sulfamethazine</t>
  </si>
  <si>
    <t>SMZ-Med</t>
  </si>
  <si>
    <t>Sulfamethizole</t>
  </si>
  <si>
    <t>Sulfapyridine</t>
  </si>
  <si>
    <t>Sulfaquinoxaline</t>
  </si>
  <si>
    <t>Liquid Sul-Q-Nox</t>
  </si>
  <si>
    <t>Sulfathiazole</t>
  </si>
  <si>
    <t>Sulfasoxazole</t>
  </si>
  <si>
    <t>Tetracycline</t>
  </si>
  <si>
    <t>Tetra-Bac 324</t>
  </si>
  <si>
    <t>BL</t>
  </si>
  <si>
    <t>Sulfa</t>
  </si>
  <si>
    <t>Tet</t>
  </si>
  <si>
    <t>Quin</t>
  </si>
  <si>
    <t>QUAD 1: Export Only, Cow Only</t>
  </si>
  <si>
    <t>TRIO: Domestic or Export, Cow Only</t>
  </si>
  <si>
    <t>MRLBLTET: Export Only, Cow Only</t>
  </si>
  <si>
    <t>MRLBLTET2: Export Only, Cow, Goat, Sheep</t>
  </si>
  <si>
    <t>MRLBLRFTET2</t>
  </si>
  <si>
    <t>MRLBLRFTET2: Export Only (Russia), Cow, Goat, Sheep</t>
  </si>
  <si>
    <r>
      <t>FLUSLBL</t>
    </r>
    <r>
      <rPr>
        <sz val="11"/>
        <color theme="1"/>
        <rFont val="Calibri"/>
        <family val="2"/>
        <scheme val="minor"/>
      </rPr>
      <t>: Cow Only</t>
    </r>
  </si>
  <si>
    <t>Brand Names: ALL</t>
  </si>
  <si>
    <t>Brand Names</t>
  </si>
  <si>
    <t>Full Name</t>
  </si>
  <si>
    <t>Test Name</t>
  </si>
  <si>
    <t>Tests</t>
  </si>
  <si>
    <t>Page Link</t>
  </si>
  <si>
    <t>Description</t>
  </si>
  <si>
    <t>Picture</t>
  </si>
  <si>
    <t>About</t>
  </si>
  <si>
    <t>Drug Names</t>
  </si>
  <si>
    <t>Search</t>
  </si>
  <si>
    <t>Hidden</t>
  </si>
  <si>
    <t>Hidden - CategoryFilter</t>
  </si>
  <si>
    <t>Sidebar - Hidden</t>
  </si>
  <si>
    <t>Hidden - csvFilter</t>
  </si>
  <si>
    <t>StringFilter - Hidden</t>
  </si>
  <si>
    <t>Charm 3 SL3 Beta-lactam Test</t>
  </si>
  <si>
    <t>Charm MRL Beta-lactam and Tetracycline Test</t>
  </si>
  <si>
    <t>Charm TRIO Test</t>
  </si>
  <si>
    <t>Charm SL Beta-lactam Test</t>
  </si>
  <si>
    <t>Charm MRL Beta-lactam Test</t>
  </si>
  <si>
    <t>Charm MRL Beta-lactam and RF Tetracycline 2-Minute Test</t>
  </si>
  <si>
    <t>Charm SL Aflatoxin M1 Quantitative Test</t>
  </si>
  <si>
    <t>Charm MRL Aflatoxin M1 Quantitative Test</t>
  </si>
  <si>
    <t>MRLAFMQ</t>
  </si>
  <si>
    <t>Charm Flunixin and Beta-lactam Test</t>
  </si>
  <si>
    <t>Charm MRL Beta-lactam 3-Minute Test</t>
  </si>
  <si>
    <t>Charm QUAD Test</t>
  </si>
  <si>
    <t>All Drugs</t>
  </si>
  <si>
    <t>Drugs</t>
  </si>
  <si>
    <t>All Drugs: Brand Names</t>
  </si>
  <si>
    <t>https://drive.google.com/thumbnail?id=1IEqBNLuRh5tU1hRHJm6iBPK9Ys7nDayW</t>
  </si>
  <si>
    <t>https://drive.google.com/thumbnail?id=1wx3ePlbEDLvIjmceh8hFZmJfg7KAaFOZ</t>
  </si>
  <si>
    <t>https://drive.google.com/thumbnail?id=1XmEV78VdRF58DxJ22ql9UkWpYBZ6fqoq</t>
  </si>
  <si>
    <t>https://drive.google.com/thumbnail?id=1gvDaOGi4K4MRdJirD4PqoLz0DPHr-dYt</t>
  </si>
  <si>
    <t>https://drive.google.com/thumbnail?id=19X-l4RUyUDWAvXxRk7JKORlFeJ4hoZ3C</t>
  </si>
  <si>
    <t>https://drive.google.com/thumbnail?id=1YcsKHSAKi-Uw5axidBatUWTzcSvmEvYb</t>
  </si>
  <si>
    <t>https://drive.google.com/thumbnail?id=12que7Oewst84Ojn74ZdlVq74th3tNhlM</t>
  </si>
  <si>
    <t>https://drive.google.com/thumbnail?id=1Jm9DQpVqlflT_izPEOEMk9pdy0-x-O6C</t>
  </si>
  <si>
    <t>https://drive.google.com/thumbnail?id=18nE1g9pEB0ripcKMXohlV4bZ6qvxvi8p</t>
  </si>
  <si>
    <t>https://drive.google.com/thumbnail?id=1fz9w9tfdvCkt0Zb8rHvXC79JhvOZ6Hqv</t>
  </si>
  <si>
    <t>https://drive.google.com/thumbnail?id=1iRYhJI4mTQffykoZB95XVwcHeCHo4c99</t>
  </si>
  <si>
    <t>https://drive.google.com/thumbnail?id=1s5FM_qplL1JyAZzM8IUF4gLCn1OD5Rkh</t>
  </si>
  <si>
    <t>https://drive.google.com/thumbnail?id=1o-GUd-HXC08Su-EYr1KsJRTBpnCfc_4g</t>
  </si>
  <si>
    <t>https://drive.google.com/thumbnail?id=1nii1lYDWELj2PMWLIvXLvidLjL3HUBr7</t>
  </si>
  <si>
    <t>https://drive.google.com/thumbnail?id=1MpeQFCK8a7hjb700UsgpXHIQdnAYp_m-</t>
  </si>
  <si>
    <t>https://drive.google.com/thumbnail?id=1SymQOHJCYuuiGDLS2FhGpni7JLuE3LB_</t>
  </si>
  <si>
    <t>Charm MRL Beta-lactam 1-Minute Test</t>
  </si>
  <si>
    <t>Test Time</t>
  </si>
  <si>
    <t>Polyflex</t>
  </si>
  <si>
    <t>SPECTRAMAST LC</t>
  </si>
  <si>
    <t>SPECTRAMAST DC</t>
  </si>
  <si>
    <t>QUAD3</t>
  </si>
  <si>
    <t>MRLBL1</t>
  </si>
  <si>
    <t>Dihydrostreptomycin</t>
  </si>
  <si>
    <t>Neomycin</t>
  </si>
  <si>
    <t>Biosol Liquid</t>
  </si>
  <si>
    <t>Neo-Sol 50</t>
  </si>
  <si>
    <t>NeoMed 325 Soluble Powder</t>
  </si>
  <si>
    <t>Neomix 325</t>
  </si>
  <si>
    <t>Neomix Ag 325</t>
  </si>
  <si>
    <t>https://drive.google.com/thumbnail?id=18EWigZ_q0HCgapnY1vriI3pYf_V6x7--</t>
  </si>
  <si>
    <t>https://drive.google.com/thumbnail?id=1MnRXPgLPcHS7vTcGwBoYqpDRiKTTgi-r</t>
  </si>
  <si>
    <t>Test Type</t>
  </si>
  <si>
    <t>Aflatoxin M1</t>
  </si>
  <si>
    <t xml:space="preserve">SLAFM </t>
  </si>
  <si>
    <t>CAP</t>
  </si>
  <si>
    <t>ENRO</t>
  </si>
  <si>
    <t>NEO-STREP</t>
  </si>
  <si>
    <t>QUIN</t>
  </si>
  <si>
    <t>STREP</t>
  </si>
  <si>
    <t>PIRL</t>
  </si>
  <si>
    <t>AMPH</t>
  </si>
  <si>
    <t xml:space="preserve">SULF-MRL </t>
  </si>
  <si>
    <t>Incubation Temp</t>
  </si>
  <si>
    <t>Equipment</t>
  </si>
  <si>
    <t>Charm Streptomycin Test</t>
  </si>
  <si>
    <t>Streptomycin</t>
  </si>
  <si>
    <t>Sulfacetamide</t>
  </si>
  <si>
    <t>Sulfadiazine</t>
  </si>
  <si>
    <t>Sulfaethoxypyridazine</t>
  </si>
  <si>
    <t>Sulfamethoxazole</t>
  </si>
  <si>
    <t>Sulfamethoxypyridazine</t>
  </si>
  <si>
    <t>Sulfisoxazole</t>
  </si>
  <si>
    <t>Charm Amphenicol Test</t>
  </si>
  <si>
    <t>Approvals</t>
  </si>
  <si>
    <t>Countries</t>
  </si>
  <si>
    <t>Chloramphenicol</t>
  </si>
  <si>
    <t>Florfenicol</t>
  </si>
  <si>
    <t>Thiamphenicol</t>
  </si>
  <si>
    <t>SL-KIWI</t>
  </si>
  <si>
    <t>AUSBL</t>
  </si>
  <si>
    <t>Cefacetrile</t>
  </si>
  <si>
    <t>Cefalonium</t>
  </si>
  <si>
    <t>Cefazolin</t>
  </si>
  <si>
    <t>Cefuroxime</t>
  </si>
  <si>
    <t>Dicloxacillin</t>
  </si>
  <si>
    <t>Oxacillin</t>
  </si>
  <si>
    <t>Charm Australian Beta-lactam Test</t>
  </si>
  <si>
    <t>Charm Neomycin and Streptomycin Test</t>
  </si>
  <si>
    <t xml:space="preserve">Charm Pirlimycin Test </t>
  </si>
  <si>
    <t>Charm Chloramphenicol Test</t>
  </si>
  <si>
    <t>Cefadroxil</t>
  </si>
  <si>
    <t>Cefalexin</t>
  </si>
  <si>
    <t>Nafcillin</t>
  </si>
  <si>
    <t>Ticarcillin</t>
  </si>
  <si>
    <t>Charm Enrofloxacin Test</t>
  </si>
  <si>
    <t>Charm Gentamicin Test</t>
  </si>
  <si>
    <t>Doxycycline</t>
  </si>
  <si>
    <t>Cefurozime</t>
  </si>
  <si>
    <t>Ciprofloxacin</t>
  </si>
  <si>
    <t>Danofloxacin</t>
  </si>
  <si>
    <t>Flumequin</t>
  </si>
  <si>
    <t>Lomefloxacin</t>
  </si>
  <si>
    <t>Marbofloxacin</t>
  </si>
  <si>
    <t>Naladixic Acid</t>
  </si>
  <si>
    <t>Ofloxacin</t>
  </si>
  <si>
    <t>Norfloxacin</t>
  </si>
  <si>
    <t>Pefloxacin</t>
  </si>
  <si>
    <t>Orbifloxacin</t>
  </si>
  <si>
    <t>Erythromycin</t>
  </si>
  <si>
    <t>Lincomycin</t>
  </si>
  <si>
    <t>Spiramycin</t>
  </si>
  <si>
    <t>Tilmicosin</t>
  </si>
  <si>
    <t>Tylosin</t>
  </si>
  <si>
    <t>Kanamycin</t>
  </si>
  <si>
    <t>Spectinomycin</t>
  </si>
  <si>
    <t>Difloxacin</t>
  </si>
  <si>
    <t>Norofloxacin</t>
  </si>
  <si>
    <t>Sarafloxacin</t>
  </si>
  <si>
    <t>Sulfabenzamide</t>
  </si>
  <si>
    <t>Sulfaguanidine</t>
  </si>
  <si>
    <t>Charm Quinolone Test</t>
  </si>
  <si>
    <t>Charm SL-KIWI Beta-lactam Test</t>
  </si>
  <si>
    <t xml:space="preserve">Charm Tetracycline Test </t>
  </si>
  <si>
    <t xml:space="preserve">Charm MRL Sulfonamide Test </t>
  </si>
  <si>
    <t>Charm 3 SL3</t>
  </si>
  <si>
    <t>GENT</t>
  </si>
  <si>
    <t>Charm ROSA SULF Test</t>
  </si>
  <si>
    <t>Charm QUAD1 Test</t>
  </si>
  <si>
    <t>Charm QUAD2 Test</t>
  </si>
  <si>
    <t>Charm QUAD3 Test</t>
  </si>
  <si>
    <t>Charm SL Aflatoxin M1 Test</t>
  </si>
  <si>
    <t>-</t>
  </si>
  <si>
    <t>Norfenicol</t>
  </si>
  <si>
    <t>Hetacin K</t>
  </si>
  <si>
    <t>Sulfadimidine</t>
  </si>
  <si>
    <t xml:space="preserve">Enrofloxacin </t>
  </si>
  <si>
    <t xml:space="preserve">Gentamicin </t>
  </si>
  <si>
    <t>Amoxi-Bol</t>
  </si>
  <si>
    <t>Amoxi-Inject (Cattle)</t>
  </si>
  <si>
    <t>Amoxi-Sol</t>
  </si>
  <si>
    <t>Ampi-Bol</t>
  </si>
  <si>
    <t>Ampicillin Trihydrate</t>
  </si>
  <si>
    <t>Princillin Bolus</t>
  </si>
  <si>
    <t>Princillin Injection</t>
  </si>
  <si>
    <t>Ceftiofur for Injection</t>
  </si>
  <si>
    <t>Excenel</t>
  </si>
  <si>
    <t>Cefa-Dri</t>
  </si>
  <si>
    <t>Cefa-Lak</t>
  </si>
  <si>
    <t>Tomorrow</t>
  </si>
  <si>
    <t>Aureo S 700</t>
  </si>
  <si>
    <t>Aureomix</t>
  </si>
  <si>
    <t>Aureomycin</t>
  </si>
  <si>
    <t>Chloratet</t>
  </si>
  <si>
    <t>ChlorMax</t>
  </si>
  <si>
    <t>Chloronex</t>
  </si>
  <si>
    <t>Chlortetracycline hydrochloride soluble powder</t>
  </si>
  <si>
    <t>CLTC</t>
  </si>
  <si>
    <t>CTC Bisulfate Soluble Powder</t>
  </si>
  <si>
    <t>Deracin</t>
  </si>
  <si>
    <t>Fermycin Soluble</t>
  </si>
  <si>
    <t>PfiChlor</t>
  </si>
  <si>
    <t>Boviclox</t>
  </si>
  <si>
    <t>Orbenin DC</t>
  </si>
  <si>
    <t>Advocin Sterile Injectable Solution</t>
  </si>
  <si>
    <t>Dry-Mast</t>
  </si>
  <si>
    <t>Pfizer-Strep</t>
  </si>
  <si>
    <t>Quartermaster Suspension</t>
  </si>
  <si>
    <t>Erythro</t>
  </si>
  <si>
    <t>Erythromast 36</t>
  </si>
  <si>
    <t>Gallimycin</t>
  </si>
  <si>
    <t>Loncor 300</t>
  </si>
  <si>
    <t>Nuflor</t>
  </si>
  <si>
    <t>NuflorGOLD</t>
  </si>
  <si>
    <t>Resflor Gold</t>
  </si>
  <si>
    <t>Flu-Nix</t>
  </si>
  <si>
    <t>Flunixin Meglumine Injection</t>
  </si>
  <si>
    <t>Hexasol Injection</t>
  </si>
  <si>
    <t>Gentocin Pink Eye Spray</t>
  </si>
  <si>
    <t>PolyMast Intramammary Infusion</t>
  </si>
  <si>
    <t>Neo 200 Oral Solution</t>
  </si>
  <si>
    <t>Neo Predef Sterile Ointment</t>
  </si>
  <si>
    <t>Neo-Oxy</t>
  </si>
  <si>
    <t>Neo-Terramycin</t>
  </si>
  <si>
    <t>NeoMed Soluble Powder</t>
  </si>
  <si>
    <t>Neomycin Sulfate</t>
  </si>
  <si>
    <t>Neosol Soluble Powder</t>
  </si>
  <si>
    <t>Neosol-Oral</t>
  </si>
  <si>
    <t>Agrimycin 200</t>
  </si>
  <si>
    <t>Aquachel-100</t>
  </si>
  <si>
    <t>Bio-Mycin</t>
  </si>
  <si>
    <t>BOVATEC and TM</t>
  </si>
  <si>
    <t>Compudose</t>
  </si>
  <si>
    <t>Duramycin</t>
  </si>
  <si>
    <t>Encore</t>
  </si>
  <si>
    <t>Geomycin 200</t>
  </si>
  <si>
    <t>Liquamycin</t>
  </si>
  <si>
    <t>Maxim-200 Injection</t>
  </si>
  <si>
    <t>Medamycin Injectable</t>
  </si>
  <si>
    <t>MGA and TM</t>
  </si>
  <si>
    <t>Oxy Calf Bolus</t>
  </si>
  <si>
    <t>Oxy-Tet</t>
  </si>
  <si>
    <t>Oxyject</t>
  </si>
  <si>
    <t>Oxytetracycline Hydrochloride Injection</t>
  </si>
  <si>
    <t>Oxytetracycline Injection 200</t>
  </si>
  <si>
    <t>Oxytetracycline-50</t>
  </si>
  <si>
    <t>Oxyvet-100</t>
  </si>
  <si>
    <t>Pennox</t>
  </si>
  <si>
    <t>Rachelle Oxyvet Injection</t>
  </si>
  <si>
    <t>Terra-Vet</t>
  </si>
  <si>
    <t>Terramycin</t>
  </si>
  <si>
    <t>Agricillin</t>
  </si>
  <si>
    <t>Albacillin Suspension</t>
  </si>
  <si>
    <t>Albadry Plus Suspension</t>
  </si>
  <si>
    <t>Benza-Pen</t>
  </si>
  <si>
    <t>Bicillin Fortified</t>
  </si>
  <si>
    <t>Crysticillin</t>
  </si>
  <si>
    <t>Flo-cillin Dura-biotic</t>
  </si>
  <si>
    <t>Formula A-34 Uni Biotic 4 Dose</t>
  </si>
  <si>
    <t>Hanaford's/US Vet MASTICLEAR</t>
  </si>
  <si>
    <t>Hanfords Four-Pen Aqua-Mast</t>
  </si>
  <si>
    <t>Longicil Fortified</t>
  </si>
  <si>
    <t>Masti-Clear Go-Dry</t>
  </si>
  <si>
    <t>Pen BP-48 Dual-Cillin</t>
  </si>
  <si>
    <t>PEN-G-MAX</t>
  </si>
  <si>
    <t>Penicillin G Procaine Aqueous Suspension Jetpen</t>
  </si>
  <si>
    <t>Pro-Pen-G</t>
  </si>
  <si>
    <t xml:space="preserve">Special Formula 17900-Forte Suspension </t>
  </si>
  <si>
    <t>Tandem Pen</t>
  </si>
  <si>
    <t>Adspec Sterile Solution</t>
  </si>
  <si>
    <t>Strep Sol</t>
  </si>
  <si>
    <t>Streptomycin Oral Solution</t>
  </si>
  <si>
    <t>Prinzone</t>
  </si>
  <si>
    <t>Pyradan</t>
  </si>
  <si>
    <t>Vetisulid</t>
  </si>
  <si>
    <t>Agribon</t>
  </si>
  <si>
    <t>Albon</t>
  </si>
  <si>
    <t>Di-Methox</t>
  </si>
  <si>
    <t>SDM Sulfadimethoxine Concentrated Solution 12.5%</t>
  </si>
  <si>
    <t>SulfaMed</t>
  </si>
  <si>
    <t>Sulforal</t>
  </si>
  <si>
    <t>S.E.Z.</t>
  </si>
  <si>
    <t>Aureomix 700</t>
  </si>
  <si>
    <t>Calfspan</t>
  </si>
  <si>
    <t>HavaSpan Prolonged Release Bolus</t>
  </si>
  <si>
    <t>Pennchlor S</t>
  </si>
  <si>
    <t>Purina Sulfa</t>
  </si>
  <si>
    <t>Sulfamethazine Spanbolet II</t>
  </si>
  <si>
    <t>Sulfamethazine Sustained Release Bolus</t>
  </si>
  <si>
    <t xml:space="preserve">SulfaSpan Prolonged Release Bolus </t>
  </si>
  <si>
    <t>Sulka-S Bolus</t>
  </si>
  <si>
    <t>Sulmet</t>
  </si>
  <si>
    <t>Sustain III</t>
  </si>
  <si>
    <t>Veta-Meth</t>
  </si>
  <si>
    <t>Panmycin</t>
  </si>
  <si>
    <t>Polyotic</t>
  </si>
  <si>
    <t>Tet-Sol</t>
  </si>
  <si>
    <t>Tetra-Sal</t>
  </si>
  <si>
    <t>Tetracycline Hydrochloride Soluble Powder-324</t>
  </si>
  <si>
    <t>Tetracycline HCL Powder</t>
  </si>
  <si>
    <t>TetraMed</t>
  </si>
  <si>
    <t>Tetrasol Soluble Powder</t>
  </si>
  <si>
    <t>TetraSure 324</t>
  </si>
  <si>
    <t>Micotil</t>
  </si>
  <si>
    <t>Pulmotil</t>
  </si>
  <si>
    <t>Tilmovet</t>
  </si>
  <si>
    <t>BiloVet</t>
  </si>
  <si>
    <t>Component T- with Tylan</t>
  </si>
  <si>
    <t>Component E with Tylan</t>
  </si>
  <si>
    <t>Component TE- with Tylan</t>
  </si>
  <si>
    <t>Gilt Edge Tylan Mix</t>
  </si>
  <si>
    <t>Good-Life Tylan 10 Premix</t>
  </si>
  <si>
    <t>Hy-Con Tylan Premix</t>
  </si>
  <si>
    <t>McNess Custom Premix L200</t>
  </si>
  <si>
    <t>Purina Hog Plus II</t>
  </si>
  <si>
    <t>Quali-Tech Tylan-10 Premix</t>
  </si>
  <si>
    <t>Seeco Inc T-10 Premix</t>
  </si>
  <si>
    <t>Tylan</t>
  </si>
  <si>
    <t>Tylovet</t>
  </si>
  <si>
    <t>Waynextra For Swine</t>
  </si>
  <si>
    <t>Chloromax</t>
  </si>
  <si>
    <t>Oxyshot LA</t>
  </si>
  <si>
    <t>TETRADURE 300</t>
  </si>
  <si>
    <t>Tetroxy</t>
  </si>
  <si>
    <t>TM-100</t>
  </si>
  <si>
    <t>TM-50</t>
  </si>
  <si>
    <t>Vetrimycin</t>
  </si>
  <si>
    <t>Charm MRL Beta-lactam and Tetracycline 2-Minute Test</t>
  </si>
  <si>
    <t>Charm ROSA Tetracycline SL (Dilution Confirmation) Test</t>
  </si>
  <si>
    <t>Cow</t>
  </si>
  <si>
    <t>Cow, Goat, Sheep</t>
  </si>
  <si>
    <t>Cow, Goat, Sheep, Water Buffalo</t>
  </si>
  <si>
    <t>MRL/Global</t>
  </si>
  <si>
    <t>Amphenicols</t>
  </si>
  <si>
    <t>Beta-lactams</t>
  </si>
  <si>
    <t>US, MRL/Global</t>
  </si>
  <si>
    <t>US</t>
  </si>
  <si>
    <t>Beta-lactams, Flunixin</t>
  </si>
  <si>
    <t>Gentamicin</t>
  </si>
  <si>
    <t>Beta-lactams, Tetracyclines</t>
  </si>
  <si>
    <t>Neomycin
Streptomycins</t>
  </si>
  <si>
    <t>Streptomycins, Chloramphenicol, Beta-lactams, Tetracyclines</t>
  </si>
  <si>
    <t>Beta-lactams, Sulfonamides, Tetracyclines, Quinolones</t>
  </si>
  <si>
    <t>Macrolides</t>
  </si>
  <si>
    <t>Aminoglycosides</t>
  </si>
  <si>
    <t>Quinolones</t>
  </si>
  <si>
    <t>Streptomycins</t>
  </si>
  <si>
    <t>Sulfonamides</t>
  </si>
  <si>
    <t>Tetracyclines</t>
  </si>
  <si>
    <t>Beta-lactams, Sulfonamides, Tetracyclines</t>
  </si>
  <si>
    <t>US or MRL/Global</t>
  </si>
  <si>
    <t>https://drive.google.com/thumbnail?id=16SgPA3ZYsRyOaEDxXQi7kj0enAq_3whH</t>
  </si>
  <si>
    <t>http://www.charm.com/products/test-and-kits/antibiotic-tests/rosa-lateral-flow/amph-charm-amphenicol-test/</t>
  </si>
  <si>
    <t>https://drive.google.com/thumbnail?id=1eV4xrNOgBWvOdfvF1pVjqpN51NUaSnD7</t>
  </si>
  <si>
    <t>https://drive.google.com/thumbnail?id=1VRediCVZWowzhaJPWaX8IAHvPE5SEksM</t>
  </si>
  <si>
    <t>http://www.charm.com/products/test-and-kits/antibiotic-tests/rosa-lateral-flow/cap-charm-chloramphenicol-test/</t>
  </si>
  <si>
    <t>https://drive.google.com/thumbnail?id=1lb8fwWKcoEQCr0sjnFOIWEWvlMNgn-Zd</t>
  </si>
  <si>
    <t>http://www.charm.com/products/test-and-kits/antibiotic-tests/rosa-lateral-flow/fluslbl-charm-flunixin-and-beta-lactam-test/</t>
  </si>
  <si>
    <t>https://drive.google.com/thumbnail?id=1DlVNnH4ocwpc87HyQH8BtLR8cu8kYaGt</t>
  </si>
  <si>
    <t>http://www.charm.com/products/test-and-kits/antibiotic-tests/rosa-lateral-flow/mrlafmq-charm-mrl-aflatoxin-m1-quantitative-test/</t>
  </si>
  <si>
    <t>http://www.charm.com/products/test-and-kits/antibiotic-tests/rosa-lateral-flow/mrlbl-charm-mrl-beta-lactam-test/</t>
  </si>
  <si>
    <t>http://www.charm.com/products/test-and-kits/antibiotic-tests/rosa-lateral-flow/mrlbl1-charm-mrl-beta-lactam-1-minute-test/</t>
  </si>
  <si>
    <t>http://www.charm.com/products/test-and-kits/antibiotic-tests/rosa-lateral-flow/mrlbl3-charm-mrl-beta-lactam-3-minute-test/</t>
  </si>
  <si>
    <t>http://www.charm.com/products/test-and-kits/antibiotic-tests/rosa-lateral-flow/mrlblrftet2-charm-mrl-beta-lactam-and-rf-tetracycline-2-minute-test/</t>
  </si>
  <si>
    <t>http://www.charm.com/products/test-and-kits/antibiotic-tests/rosa-lateral-flow/mrlbltet2-charm-mrl-beta-lactam-and-tetracycline-2-minutetest/</t>
  </si>
  <si>
    <t>http://www.charm.com/products/test-and-kits/antibiotic-tests/rosa-lateral-flow/mrlbltet-charm-mrl-beta-lactam-and-tetracycline-test/</t>
  </si>
  <si>
    <t>https://drive.google.com/thumbnail?id=1sxRZm4qIxrA-f77ERZislyFu0iXt00On</t>
  </si>
  <si>
    <t>https://drive.google.com/thumbnail?id=1T8cn_Ta_PKLsOiLL5BwnlI7ebMaBN-dk</t>
  </si>
  <si>
    <t>http://www.charm.com/products/test-and-kits/antibiotic-tests/rosa-lateral-flow/quad-charm-quad-test/</t>
  </si>
  <si>
    <t>http://www.charm.com/products/test-and-kits/antibiotic-tests/rosa-lateral-flow/quad1-charm-quad1-test/</t>
  </si>
  <si>
    <t>http://www.charm.com/products/test-and-kits/antibiotic-tests/rosa-lateral-flow/quad2-charm-quad2-test/</t>
  </si>
  <si>
    <t>http://www.charm.com/products/test-and-kits/antibiotic-tests/rosa-lateral-flow/quad3-charm-quad3-test/</t>
  </si>
  <si>
    <t>https://drive.google.com/thumbnail?id=1LhsyDzBG86ynuUjjSTEs_GKd9i61uQwU</t>
  </si>
  <si>
    <t>http://www.charm.com/products/test-and-kits/antibiotic-tests/rosa-lateral-flow/quin-charm-quinolone-test/</t>
  </si>
  <si>
    <t>https://drive.google.com/thumbnail?id=1-jJf90FQn5WXiuo3RDNhumSEHAkQcnCS</t>
  </si>
  <si>
    <t>http://www.charm.com/products/test-and-kits/antibiotic-tests/rosa-lateral-flow/sl-kiwi-charm-sl-kiwi-beta-lactam-test/</t>
  </si>
  <si>
    <t>http://www.charm.com/products/test-and-kits/antibiotic-tests/rosa-lateral-flow/charm-3-sl3-charm-3-sl3-beta-lactam-test/</t>
  </si>
  <si>
    <t>https://drive.google.com/thumbnail?id=1OsEgX2RbUAMXhfUsAj6miH1XXYkh37Ba</t>
  </si>
  <si>
    <t>http://www.charm.com/products/test-and-kits/antibiotic-tests/rosa-lateral-flow/slafm-charm-sl-aflatoxin-m1-test/</t>
  </si>
  <si>
    <t>http://www.charm.com/products/test-and-kits/antibiotic-tests/rosa-lateral-flow/slafmq-charm-sl-aflatoxin-m1-quantitative-test/</t>
  </si>
  <si>
    <t>http://www.charm.com/products/test-and-kits/antibiotic-tests/rosa-lateral-flow/slbl-charm-sl-beta-lactam-test/</t>
  </si>
  <si>
    <t>https://drive.google.com/thumbnail?id=1WBPZ-D9f6N94Xpo9Pi5Q0oLgUxKu1gQu</t>
  </si>
  <si>
    <t>http://www.charm.com/products/test-and-kits/antibiotic-tests/rosa-lateral-flow/strep-charm-streptomycin-test/</t>
  </si>
  <si>
    <t>http://www.charm.com/products/test-and-kits/antibiotic-tests/rosa-lateral-flow/sulf-charm-rosa-sulf-test/</t>
  </si>
  <si>
    <t>https://drive.google.com/thumbnail?id=1Nwv8wrO46ojPTA7Cobfo_bWh7JYfQ4O8</t>
  </si>
  <si>
    <t>https://drive.google.com/thumbnail?id=1iHVWejJ9ZtU7qJXVvWnd9oTvZ0zBioJJ</t>
  </si>
  <si>
    <t>http://www.charm.com/products/test-and-kits/antibiotic-tests/rosa-lateral-flow/tet-charm-tetracycline-test/</t>
  </si>
  <si>
    <t>http://www.charm.com/products/test-and-kits/antibiotic-tests/rosa-lateral-flow/tet-sl-charm-rosa-tetracycline-sl-dilution-confirmation-test/</t>
  </si>
  <si>
    <t>http://www.charm.com/products/test-and-kits/antibiotic-tests/rosa-lateral-flow/charm-trio-test/</t>
  </si>
  <si>
    <t>8 minutes</t>
  </si>
  <si>
    <t>40 °C</t>
  </si>
  <si>
    <t>Charm EZ, Charm EZ Lite, ROSA Pearl-X Reader, Charm Field Incubator, ROSA Incubators</t>
  </si>
  <si>
    <t>SCSM (Belarus), PIWET (Poland), ILVO (Belgium)</t>
  </si>
  <si>
    <t>Belarus, Poland</t>
  </si>
  <si>
    <t>3 minutes</t>
  </si>
  <si>
    <t>56 °C</t>
  </si>
  <si>
    <t>Australia</t>
  </si>
  <si>
    <t>US, Europe</t>
  </si>
  <si>
    <t>US FDA/NCIMS</t>
  </si>
  <si>
    <t>US, Europe, India, South America</t>
  </si>
  <si>
    <t>15 minutes</t>
  </si>
  <si>
    <t>SCSM (Belarus), ILVO (Belgium)</t>
  </si>
  <si>
    <t>Belarus, Europe</t>
  </si>
  <si>
    <t>Europe, New Zealand</t>
  </si>
  <si>
    <t>1 minute</t>
  </si>
  <si>
    <t xml:space="preserve">PIWET (Poland), ILVO (Belgium) </t>
  </si>
  <si>
    <t>Poland, Belgium</t>
  </si>
  <si>
    <t xml:space="preserve">MPI (New Zealand), ILVO (Belgium) </t>
  </si>
  <si>
    <t>2 minutes</t>
  </si>
  <si>
    <t>Europe</t>
  </si>
  <si>
    <t>Europe, Brazil, Belarus</t>
  </si>
  <si>
    <t>ILVO (Belgium)</t>
  </si>
  <si>
    <t>CNIEL (France), ILVO (Belgium)</t>
  </si>
  <si>
    <t>5 minutes</t>
  </si>
  <si>
    <t>Charm EZ, Charm EZ Lite, Charm Field Incubator, ROSA Incubators</t>
  </si>
  <si>
    <t>Europe, Poland</t>
  </si>
  <si>
    <t>Brazil</t>
  </si>
  <si>
    <t>NZFSA (New Zealand)</t>
  </si>
  <si>
    <t xml:space="preserve">New Zealand </t>
  </si>
  <si>
    <t xml:space="preserve">US FDA/NCIMS </t>
  </si>
  <si>
    <t>45 °C</t>
  </si>
  <si>
    <t>US, CODEX</t>
  </si>
  <si>
    <t>US, South America</t>
  </si>
  <si>
    <t>Canada</t>
  </si>
  <si>
    <t>Europe, Canada</t>
  </si>
  <si>
    <t>Oxolinic Acid</t>
  </si>
  <si>
    <t>SCSM (Belarus), PIWET (Poland)</t>
  </si>
  <si>
    <t>PIWET (Poland),  NZFSA (New Zealand)</t>
  </si>
  <si>
    <t>PIWET (Poland), ILVO (Belgium), CNIEL (France), EMBRAPA (Brazil), SCSM (Belarus)</t>
  </si>
  <si>
    <t>SCVMU (Ukraine), PIWET (Poland), SCSM (Belarus), GOST (Russian Federation)</t>
  </si>
  <si>
    <t>SCSM (Belarus), PIWET (Poland), GOST (Russian Federation)</t>
  </si>
  <si>
    <t xml:space="preserve">EMBRAPA (Brazil), GOST (Russian Federation), US FDA/NCIMS </t>
  </si>
  <si>
    <t>EMBRAPA (Brazil)</t>
  </si>
  <si>
    <t>PIWET (Poland), ILVO (Belgium), GOST (Russian Federation), SCSM (Belarus)</t>
  </si>
  <si>
    <t>Belarus, Poland, Europe</t>
  </si>
  <si>
    <t>US, Europe, Canada, South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</si>
</sst>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0"/>
      <color theme="2" tint="-0.499984740745262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3"/>
      <color rgb="FF000000"/>
      <name val="Arial"/>
      <family val="2"/>
    </font>
    <font>
      <b/>
      <sz val="11"/>
      <color theme="1"/>
      <name val="Calibri"/>
      <family val="2"/>
    </font>
    <font>
      <sz val="12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9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Body)_x0000_"/>
    </font>
    <font>
      <sz val="11"/>
      <color theme="1"/>
      <name val="Calibri (Body)_x0000_"/>
    </font>
    <font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383838"/>
      <name val="Open Sans"/>
      <family val="2"/>
    </font>
    <font>
      <u/>
      <sz val="11"/>
      <color theme="1"/>
      <name val="Calibri"/>
      <family val="2"/>
      <scheme val="minor"/>
    </font>
    <font>
      <u/>
      <sz val="11"/>
      <color theme="1"/>
      <name val="Calibri (Body)_x0000_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7" fillId="0" borderId="0" xfId="0" applyFont="1"/>
    <xf numFmtId="0" fontId="0" fillId="0" borderId="0" xfId="0" applyNumberFormat="1" applyFon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/>
    <xf numFmtId="0" fontId="0" fillId="0" borderId="0" xfId="0" applyAlignment="1">
      <alignment wrapText="1"/>
    </xf>
    <xf numFmtId="0" fontId="9" fillId="2" borderId="0" xfId="21" applyFont="1"/>
    <xf numFmtId="0" fontId="8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0" fontId="8" fillId="0" borderId="0" xfId="0" applyFont="1" applyAlignment="1"/>
    <xf numFmtId="0" fontId="0" fillId="0" borderId="1" xfId="0" applyNumberFormat="1" applyBorder="1"/>
    <xf numFmtId="0" fontId="0" fillId="0" borderId="2" xfId="0" applyBorder="1"/>
    <xf numFmtId="0" fontId="0" fillId="0" borderId="1" xfId="0" applyBorder="1"/>
    <xf numFmtId="0" fontId="0" fillId="0" borderId="1" xfId="0" applyFont="1" applyBorder="1"/>
    <xf numFmtId="0" fontId="0" fillId="0" borderId="1" xfId="0" applyFill="1" applyBorder="1"/>
    <xf numFmtId="0" fontId="12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Font="1"/>
    <xf numFmtId="0" fontId="16" fillId="0" borderId="0" xfId="0" applyFont="1"/>
    <xf numFmtId="0" fontId="15" fillId="0" borderId="0" xfId="0" applyFont="1"/>
    <xf numFmtId="0" fontId="9" fillId="0" borderId="0" xfId="21" applyFont="1" applyFill="1"/>
    <xf numFmtId="0" fontId="17" fillId="0" borderId="0" xfId="21" applyFont="1" applyFill="1"/>
    <xf numFmtId="0" fontId="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NumberFormat="1" applyAlignment="1"/>
    <xf numFmtId="0" fontId="0" fillId="0" borderId="0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15" fillId="0" borderId="0" xfId="34" applyFont="1" applyFill="1"/>
    <xf numFmtId="0" fontId="15" fillId="0" borderId="0" xfId="0" applyFont="1" applyFill="1"/>
    <xf numFmtId="0" fontId="18" fillId="0" borderId="0" xfId="34" applyFont="1" applyFill="1"/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20" fillId="0" borderId="0" xfId="34" applyFont="1" applyFill="1" applyAlignment="1">
      <alignment wrapText="1"/>
    </xf>
    <xf numFmtId="0" fontId="21" fillId="0" borderId="0" xfId="0" applyFont="1" applyFill="1" applyAlignment="1">
      <alignment wrapText="1"/>
    </xf>
    <xf numFmtId="0" fontId="17" fillId="2" borderId="0" xfId="21" applyFont="1" applyAlignment="1">
      <alignment wrapText="1"/>
    </xf>
    <xf numFmtId="0" fontId="17" fillId="2" borderId="0" xfId="21" applyFont="1"/>
    <xf numFmtId="0" fontId="17" fillId="2" borderId="0" xfId="21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22" fillId="4" borderId="3" xfId="0" applyNumberFormat="1" applyFont="1" applyFill="1" applyBorder="1" applyAlignment="1">
      <alignment wrapText="1"/>
    </xf>
    <xf numFmtId="0" fontId="22" fillId="0" borderId="0" xfId="0" applyNumberFormat="1" applyFont="1" applyBorder="1" applyAlignment="1">
      <alignment wrapText="1"/>
    </xf>
    <xf numFmtId="0" fontId="22" fillId="4" borderId="0" xfId="0" applyNumberFormat="1" applyFont="1" applyFill="1" applyBorder="1" applyAlignment="1">
      <alignment wrapText="1"/>
    </xf>
    <xf numFmtId="0" fontId="22" fillId="0" borderId="0" xfId="0" applyFont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0" fillId="0" borderId="0" xfId="0" applyNumberFormat="1" applyFont="1" applyBorder="1"/>
    <xf numFmtId="0" fontId="17" fillId="5" borderId="4" xfId="0" applyFont="1" applyFill="1" applyBorder="1" applyAlignment="1">
      <alignment wrapText="1"/>
    </xf>
    <xf numFmtId="0" fontId="24" fillId="0" borderId="0" xfId="0" applyFont="1"/>
    <xf numFmtId="0" fontId="24" fillId="0" borderId="0" xfId="0" applyFont="1" applyAlignment="1">
      <alignment wrapText="1"/>
    </xf>
    <xf numFmtId="0" fontId="1" fillId="0" borderId="0" xfId="34" applyFont="1" applyFill="1" applyAlignment="1">
      <alignment horizontal="center" vertical="center" wrapText="1"/>
    </xf>
    <xf numFmtId="0" fontId="1" fillId="0" borderId="0" xfId="0" applyFont="1" applyFill="1"/>
    <xf numFmtId="0" fontId="25" fillId="0" borderId="0" xfId="47" applyFont="1" applyFill="1"/>
    <xf numFmtId="0" fontId="1" fillId="0" borderId="0" xfId="0" applyFont="1" applyAlignment="1">
      <alignment wrapText="1"/>
    </xf>
    <xf numFmtId="0" fontId="23" fillId="0" borderId="0" xfId="0" applyFont="1" applyFill="1"/>
    <xf numFmtId="0" fontId="21" fillId="0" borderId="0" xfId="0" applyFont="1" applyFill="1"/>
    <xf numFmtId="0" fontId="21" fillId="0" borderId="0" xfId="0" applyFont="1" applyFill="1" applyBorder="1" applyAlignment="1">
      <alignment wrapText="1"/>
    </xf>
    <xf numFmtId="0" fontId="26" fillId="0" borderId="0" xfId="47" applyFont="1"/>
    <xf numFmtId="0" fontId="21" fillId="0" borderId="0" xfId="0" applyFont="1" applyFill="1" applyAlignment="1"/>
    <xf numFmtId="0" fontId="25" fillId="0" borderId="0" xfId="47" applyFont="1"/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</cellXfs>
  <cellStyles count="110">
    <cellStyle name="20% - Accent3" xfId="21" builtinId="3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Good" xfId="34" builtinId="2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/>
    <cellStyle name="Normal" xfId="0" builtinId="0"/>
  </cellStyles>
  <dxfs count="91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thumbnail?id=18EWigZ_q0HCgapnY1vriI3pYf_V6x7--" TargetMode="External"/><Relationship Id="rId13" Type="http://schemas.openxmlformats.org/officeDocument/2006/relationships/hyperlink" Target="https://drive.google.com/thumbnail?id=1iRYhJI4mTQffykoZB95XVwcHeCHo4c99" TargetMode="External"/><Relationship Id="rId18" Type="http://schemas.openxmlformats.org/officeDocument/2006/relationships/hyperlink" Target="https://drive.google.com/thumbnail?id=1SymQOHJCYuuiGDLS2FhGpni7JLuE3LB_" TargetMode="External"/><Relationship Id="rId26" Type="http://schemas.openxmlformats.org/officeDocument/2006/relationships/hyperlink" Target="https://drive.google.com/thumbnail?id=1LhsyDzBG86ynuUjjSTEs_GKd9i61uQwU" TargetMode="External"/><Relationship Id="rId3" Type="http://schemas.openxmlformats.org/officeDocument/2006/relationships/hyperlink" Target="https://drive.google.com/thumbnail?id=1gvDaOGi4K4MRdJirD4PqoLz0DPHr-dYt" TargetMode="External"/><Relationship Id="rId21" Type="http://schemas.openxmlformats.org/officeDocument/2006/relationships/hyperlink" Target="https://drive.google.com/thumbnail?id=1VRediCVZWowzhaJPWaX8IAHvPE5SEksM" TargetMode="External"/><Relationship Id="rId7" Type="http://schemas.openxmlformats.org/officeDocument/2006/relationships/hyperlink" Target="https://drive.google.com/thumbnail?id=12que7Oewst84Ojn74ZdlVq74th3tNhlM" TargetMode="External"/><Relationship Id="rId12" Type="http://schemas.openxmlformats.org/officeDocument/2006/relationships/hyperlink" Target="https://drive.google.com/thumbnail?id=1MnRXPgLPcHS7vTcGwBoYqpDRiKTTgi-r" TargetMode="External"/><Relationship Id="rId17" Type="http://schemas.openxmlformats.org/officeDocument/2006/relationships/hyperlink" Target="https://drive.google.com/thumbnail?id=1MpeQFCK8a7hjb700UsgpXHIQdnAYp_m-" TargetMode="External"/><Relationship Id="rId25" Type="http://schemas.openxmlformats.org/officeDocument/2006/relationships/hyperlink" Target="https://drive.google.com/thumbnail?id=1T8cn_Ta_PKLsOiLL5BwnlI7ebMaBN-dk" TargetMode="External"/><Relationship Id="rId2" Type="http://schemas.openxmlformats.org/officeDocument/2006/relationships/hyperlink" Target="https://drive.google.com/thumbnail?id=1wx3ePlbEDLvIjmceh8hFZmJfg7KAaFOZ" TargetMode="External"/><Relationship Id="rId16" Type="http://schemas.openxmlformats.org/officeDocument/2006/relationships/hyperlink" Target="https://drive.google.com/thumbnail?id=1nii1lYDWELj2PMWLIvXLvidLjL3HUBr7" TargetMode="External"/><Relationship Id="rId20" Type="http://schemas.openxmlformats.org/officeDocument/2006/relationships/hyperlink" Target="https://drive.google.com/thumbnail?id=1eV4xrNOgBWvOdfvF1pVjqpN51NUaSnD7" TargetMode="External"/><Relationship Id="rId29" Type="http://schemas.openxmlformats.org/officeDocument/2006/relationships/hyperlink" Target="https://drive.google.com/thumbnail?id=1WBPZ-D9f6N94Xpo9Pi5Q0oLgUxKu1gQu" TargetMode="External"/><Relationship Id="rId1" Type="http://schemas.openxmlformats.org/officeDocument/2006/relationships/hyperlink" Target="https://drive.google.com/thumbnail?id=1IEqBNLuRh5tU1hRHJm6iBPK9Ys7nDayW" TargetMode="External"/><Relationship Id="rId6" Type="http://schemas.openxmlformats.org/officeDocument/2006/relationships/hyperlink" Target="https://drive.google.com/thumbnail?id=1YcsKHSAKi-Uw5axidBatUWTzcSvmEvYb" TargetMode="External"/><Relationship Id="rId11" Type="http://schemas.openxmlformats.org/officeDocument/2006/relationships/hyperlink" Target="https://drive.google.com/thumbnail?id=1fz9w9tfdvCkt0Zb8rHvXC79JhvOZ6Hqv" TargetMode="External"/><Relationship Id="rId24" Type="http://schemas.openxmlformats.org/officeDocument/2006/relationships/hyperlink" Target="https://drive.google.com/thumbnail?id=1sxRZm4qIxrA-f77ERZislyFu0iXt00On" TargetMode="External"/><Relationship Id="rId5" Type="http://schemas.openxmlformats.org/officeDocument/2006/relationships/hyperlink" Target="https://drive.google.com/thumbnail?id=19X-l4RUyUDWAvXxRk7JKORlFeJ4hoZ3C" TargetMode="External"/><Relationship Id="rId15" Type="http://schemas.openxmlformats.org/officeDocument/2006/relationships/hyperlink" Target="https://drive.google.com/thumbnail?id=1o-GUd-HXC08Su-EYr1KsJRTBpnCfc_4g" TargetMode="External"/><Relationship Id="rId23" Type="http://schemas.openxmlformats.org/officeDocument/2006/relationships/hyperlink" Target="https://drive.google.com/thumbnail?id=1DlVNnH4ocwpc87HyQH8BtLR8cu8kYaGt" TargetMode="External"/><Relationship Id="rId28" Type="http://schemas.openxmlformats.org/officeDocument/2006/relationships/hyperlink" Target="https://drive.google.com/thumbnail?id=1OsEgX2RbUAMXhfUsAj6miH1XXYkh37Ba" TargetMode="External"/><Relationship Id="rId10" Type="http://schemas.openxmlformats.org/officeDocument/2006/relationships/hyperlink" Target="https://drive.google.com/thumbnail?id=18nE1g9pEB0ripcKMXohlV4bZ6qvxvi8p" TargetMode="External"/><Relationship Id="rId19" Type="http://schemas.openxmlformats.org/officeDocument/2006/relationships/hyperlink" Target="https://drive.google.com/thumbnail?id=16SgPA3ZYsRyOaEDxXQi7kj0enAq_3whH" TargetMode="External"/><Relationship Id="rId31" Type="http://schemas.openxmlformats.org/officeDocument/2006/relationships/hyperlink" Target="https://drive.google.com/thumbnail?id=1iHVWejJ9ZtU7qJXVvWnd9oTvZ0zBioJJ" TargetMode="External"/><Relationship Id="rId4" Type="http://schemas.openxmlformats.org/officeDocument/2006/relationships/hyperlink" Target="https://drive.google.com/thumbnail?id=1XmEV78VdRF58DxJ22ql9UkWpYBZ6fqoq" TargetMode="External"/><Relationship Id="rId9" Type="http://schemas.openxmlformats.org/officeDocument/2006/relationships/hyperlink" Target="https://drive.google.com/thumbnail?id=1Jm9DQpVqlflT_izPEOEMk9pdy0-x-O6C" TargetMode="External"/><Relationship Id="rId14" Type="http://schemas.openxmlformats.org/officeDocument/2006/relationships/hyperlink" Target="https://drive.google.com/thumbnail?id=1s5FM_qplL1JyAZzM8IUF4gLCn1OD5Rkh" TargetMode="External"/><Relationship Id="rId22" Type="http://schemas.openxmlformats.org/officeDocument/2006/relationships/hyperlink" Target="https://drive.google.com/thumbnail?id=1lb8fwWKcoEQCr0sjnFOIWEWvlMNgn-Zd" TargetMode="External"/><Relationship Id="rId27" Type="http://schemas.openxmlformats.org/officeDocument/2006/relationships/hyperlink" Target="https://drive.google.com/thumbnail?id=1-jJf90FQn5WXiuo3RDNhumSEHAkQcnCS" TargetMode="External"/><Relationship Id="rId30" Type="http://schemas.openxmlformats.org/officeDocument/2006/relationships/hyperlink" Target="https://drive.google.com/thumbnail?id=1Nwv8wrO46ojPTA7Cobfo_bWh7JYfQ4O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zoomScale="110" zoomScaleNormal="110" workbookViewId="0">
      <pane ySplit="1" topLeftCell="A2" activePane="bottomLeft" state="frozen"/>
      <selection pane="bottomLeft" activeCell="Q3" sqref="Q3"/>
    </sheetView>
  </sheetViews>
  <sheetFormatPr baseColWidth="10" defaultRowHeight="15"/>
  <cols>
    <col min="1" max="1" width="12.6640625" style="6" customWidth="1"/>
    <col min="2" max="2" width="25.5" style="6" customWidth="1"/>
    <col min="3" max="3" width="18" style="6" customWidth="1"/>
    <col min="5" max="5" width="13.33203125" style="6" customWidth="1"/>
    <col min="8" max="8" width="15.1640625" customWidth="1"/>
    <col min="9" max="9" width="25.1640625" style="6" customWidth="1"/>
    <col min="10" max="10" width="30.83203125" style="6" customWidth="1"/>
  </cols>
  <sheetData>
    <row r="1" spans="1:19" s="6" customFormat="1" ht="32">
      <c r="A1" s="8" t="s">
        <v>84</v>
      </c>
      <c r="B1" s="8" t="s">
        <v>83</v>
      </c>
      <c r="C1" s="8" t="s">
        <v>2</v>
      </c>
      <c r="D1" s="1" t="s">
        <v>402</v>
      </c>
      <c r="E1" s="8" t="s">
        <v>144</v>
      </c>
      <c r="F1" s="8" t="s">
        <v>87</v>
      </c>
      <c r="G1" s="8" t="s">
        <v>88</v>
      </c>
      <c r="H1" s="11" t="s">
        <v>86</v>
      </c>
      <c r="I1" s="8" t="s">
        <v>90</v>
      </c>
      <c r="J1" s="8" t="s">
        <v>82</v>
      </c>
      <c r="K1" s="8" t="s">
        <v>91</v>
      </c>
      <c r="L1" s="8" t="s">
        <v>85</v>
      </c>
      <c r="M1" s="8" t="s">
        <v>89</v>
      </c>
      <c r="N1" s="19" t="s">
        <v>129</v>
      </c>
      <c r="O1" s="18" t="s">
        <v>155</v>
      </c>
      <c r="P1" s="19" t="s">
        <v>156</v>
      </c>
      <c r="Q1" s="1" t="s">
        <v>166</v>
      </c>
      <c r="R1" s="19" t="s">
        <v>167</v>
      </c>
      <c r="S1" s="19"/>
    </row>
    <row r="2" spans="1:19" s="7" customFormat="1" ht="30">
      <c r="A2" s="38" t="s">
        <v>92</v>
      </c>
      <c r="B2" s="38" t="s">
        <v>92</v>
      </c>
      <c r="C2" s="39" t="s">
        <v>93</v>
      </c>
      <c r="D2" s="38" t="s">
        <v>93</v>
      </c>
      <c r="E2" s="38" t="s">
        <v>93</v>
      </c>
      <c r="F2" s="39" t="s">
        <v>92</v>
      </c>
      <c r="G2" s="39" t="s">
        <v>92</v>
      </c>
      <c r="H2" s="40" t="s">
        <v>92</v>
      </c>
      <c r="I2" s="38" t="s">
        <v>95</v>
      </c>
      <c r="J2" s="38" t="s">
        <v>95</v>
      </c>
      <c r="K2" s="39" t="s">
        <v>96</v>
      </c>
      <c r="L2" s="39"/>
      <c r="M2" s="39" t="s">
        <v>94</v>
      </c>
      <c r="N2" s="39" t="s">
        <v>92</v>
      </c>
      <c r="O2" s="39"/>
      <c r="P2" s="39"/>
      <c r="Q2" s="39"/>
      <c r="R2" s="39"/>
    </row>
    <row r="3" spans="1:19" s="23" customFormat="1" ht="17">
      <c r="A3" s="41" t="s">
        <v>153</v>
      </c>
      <c r="B3" s="20" t="str">
        <f>VLOOKUP(A3,TestInfo!A:H,2,FALSE)</f>
        <v>Charm Amphenicol Test</v>
      </c>
      <c r="C3" s="25" t="str">
        <f>VLOOKUP(A3,TestInfo!A:H,3,FALSE)</f>
        <v>Cow</v>
      </c>
      <c r="D3" s="25" t="str">
        <f>VLOOKUP(A3,TestInfo!A:H,4,FALSE)</f>
        <v>MRL/Global</v>
      </c>
      <c r="E3" s="25" t="str">
        <f>VLOOKUP(A3,TestInfo!A:H,5,FALSE)</f>
        <v>Amphenicols</v>
      </c>
      <c r="F3" s="20">
        <f>VLOOKUP(A3,TestInfo!A:H,6,FALSE)</f>
        <v>0</v>
      </c>
      <c r="G3" s="20" t="str">
        <f>VLOOKUP(A3,TestInfo!A:H,7,FALSE)</f>
        <v>https://drive.google.com/thumbnail?id=16SgPA3ZYsRyOaEDxXQi7kj0enAq_3whH</v>
      </c>
      <c r="H3" s="20" t="str">
        <f>VLOOKUP(A3,TestInfo!A:H,8,FALSE)</f>
        <v>http://www.charm.com/products/test-and-kits/antibiotic-tests/rosa-lateral-flow/amph-charm-amphenicol-test/</v>
      </c>
      <c r="I3" s="25" t="str">
        <f>VLOOKUP(A3,TestDrugs!A:C,2,FALSE)</f>
        <v>Chloramphenicol, Florfenicol, Thiamphenicol</v>
      </c>
      <c r="J3" s="25" t="str">
        <f>VLOOKUP(A3,TestDrugs!A:C,3,FALSE)</f>
        <v xml:space="preserve">, Loncor 300, Norfenicol, Nuflor, NuflorGOLD, Resflor Gold, </v>
      </c>
      <c r="K3" s="42"/>
      <c r="L3" s="24"/>
      <c r="M3" s="24"/>
      <c r="N3" s="24" t="str">
        <f>VLOOKUP(A3,TestInfo!A:I,9,FALSE)</f>
        <v>8 minutes</v>
      </c>
      <c r="O3" s="24" t="str">
        <f>VLOOKUP(A3,TestInfo!A:J,10,FALSE)</f>
        <v>40 °C</v>
      </c>
      <c r="P3" s="24" t="str">
        <f>VLOOKUP(A3,TestInfo!A:K,11,FALSE)</f>
        <v>Charm EZ, Charm EZ Lite, ROSA Pearl-X Reader, Charm Field Incubator, ROSA Incubators</v>
      </c>
      <c r="Q3" s="24" t="str">
        <f>VLOOKUP(A3,TestInfo!A:L,12,FALSE)</f>
        <v>SCSM (Belarus), PIWET (Poland), ILVO (Belgium)</v>
      </c>
      <c r="R3" s="24" t="str">
        <f>VLOOKUP(A3,TestInfo!A:M,13,FALSE)</f>
        <v>Belarus, Poland</v>
      </c>
      <c r="S3" s="24"/>
    </row>
    <row r="4" spans="1:19" s="23" customFormat="1" ht="16">
      <c r="A4" s="25" t="s">
        <v>172</v>
      </c>
      <c r="B4" s="20" t="str">
        <f>VLOOKUP(A4,TestInfo!A:H,2,FALSE)</f>
        <v>Charm Australian Beta-lactam Test</v>
      </c>
      <c r="C4" s="25" t="str">
        <f>VLOOKUP(A4,TestInfo!A:H,3,FALSE)</f>
        <v>Cow, Goat, Sheep</v>
      </c>
      <c r="D4" s="25" t="str">
        <f>VLOOKUP(A4,TestInfo!A:H,4,FALSE)</f>
        <v>MRL/Global</v>
      </c>
      <c r="E4" s="25" t="str">
        <f>VLOOKUP(A4,TestInfo!A:H,5,FALSE)</f>
        <v>Beta-lactams</v>
      </c>
      <c r="F4" s="20">
        <f>VLOOKUP(A4,TestInfo!A:H,6,FALSE)</f>
        <v>0</v>
      </c>
      <c r="G4" s="20" t="str">
        <f>VLOOKUP(A4,TestInfo!A:H,7,FALSE)</f>
        <v>https://drive.google.com/thumbnail?id=1eV4xrNOgBWvOdfvF1pVjqpN51NUaSnD7</v>
      </c>
      <c r="H4" s="20">
        <f>VLOOKUP(A4,TestInfo!A:H,8,FALSE)</f>
        <v>0</v>
      </c>
      <c r="I4" s="25" t="str">
        <f>VLOOKUP(A4,TestDrugs!A:C,2,FALSE)</f>
        <v>Amoxicillin, Ampicillin, Cefacetrile, Cefalonium, Cefazolin, Cefoperazone, Cefquinome, Cefuroxime, Ceftiofur, Cephapirin, Cloxacillin, Dicloxacillin, Oxacillin, Penicillin G</v>
      </c>
      <c r="J4" s="25" t="str">
        <f>VLOOKUP(A4,TestDrugs!A:C,3,FALSE)</f>
        <v>Amoxi-Bol, Amoxi-Inject (Cattle), Amoxi-Sol, Ampi-Bol, Ampicillin Trihydrate, Polyflex, Princillin Bolus, Princillin Injection, 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K4" s="42"/>
      <c r="L4" s="24"/>
      <c r="M4" s="24"/>
      <c r="N4" s="24" t="str">
        <f>VLOOKUP(A4,TestInfo!A:I,9,FALSE)</f>
        <v>3 minutes</v>
      </c>
      <c r="O4" s="24" t="str">
        <f>VLOOKUP(A4,TestInfo!A:J,10,FALSE)</f>
        <v>56 °C</v>
      </c>
      <c r="P4" s="24" t="str">
        <f>VLOOKUP(A4,TestInfo!A:K,11,FALSE)</f>
        <v>Charm EZ, Charm EZ Lite, ROSA Pearl-X Reader, Charm Field Incubator, ROSA Incubators</v>
      </c>
      <c r="Q4" s="24">
        <f>VLOOKUP(A4,TestInfo!A:L,12,FALSE)</f>
        <v>0</v>
      </c>
      <c r="R4" s="24" t="str">
        <f>VLOOKUP(A4,TestInfo!A:M,13,FALSE)</f>
        <v>Australia</v>
      </c>
      <c r="S4" s="24"/>
    </row>
    <row r="5" spans="1:19" s="23" customFormat="1" ht="17">
      <c r="A5" s="41" t="s">
        <v>147</v>
      </c>
      <c r="B5" s="20" t="str">
        <f>VLOOKUP(A5,TestInfo!A:H,2,FALSE)</f>
        <v>Charm Chloramphenicol Test</v>
      </c>
      <c r="C5" s="25" t="str">
        <f>VLOOKUP(A5,TestInfo!A:H,3,FALSE)</f>
        <v>Cow</v>
      </c>
      <c r="D5" s="25" t="str">
        <f>VLOOKUP(A5,TestInfo!A:H,4,FALSE)</f>
        <v>US, MRL/Global</v>
      </c>
      <c r="E5" s="25" t="str">
        <f>VLOOKUP(A5,TestInfo!A:H,5,FALSE)</f>
        <v>Chloramphenicol</v>
      </c>
      <c r="F5" s="20">
        <f>VLOOKUP(A5,TestInfo!A:H,6,FALSE)</f>
        <v>0</v>
      </c>
      <c r="G5" s="20" t="str">
        <f>VLOOKUP(A5,TestInfo!A:H,7,FALSE)</f>
        <v>https://drive.google.com/thumbnail?id=1VRediCVZWowzhaJPWaX8IAHvPE5SEksM</v>
      </c>
      <c r="H5" s="20" t="str">
        <f>VLOOKUP(A5,TestInfo!A:H,8,FALSE)</f>
        <v>http://www.charm.com/products/test-and-kits/antibiotic-tests/rosa-lateral-flow/cap-charm-chloramphenicol-test/</v>
      </c>
      <c r="I5" s="25" t="str">
        <f>VLOOKUP(A5,TestDrugs!A:C,2,FALSE)</f>
        <v>Chloramphenicol</v>
      </c>
      <c r="J5" s="25">
        <f>VLOOKUP(A5,TestDrugs!A:C,3,FALSE)</f>
        <v>0</v>
      </c>
      <c r="K5" s="24"/>
      <c r="L5" s="24"/>
      <c r="M5" s="24"/>
      <c r="N5" s="24" t="str">
        <f>VLOOKUP(A5,TestInfo!A:I,9,FALSE)</f>
        <v>8 minutes</v>
      </c>
      <c r="O5" s="24" t="str">
        <f>VLOOKUP(A5,TestInfo!A:J,10,FALSE)</f>
        <v>40 °C</v>
      </c>
      <c r="P5" s="24" t="str">
        <f>VLOOKUP(A5,TestInfo!A:K,11,FALSE)</f>
        <v>Charm EZ, Charm EZ Lite, ROSA Pearl-X Reader, Charm Field Incubator, ROSA Incubators</v>
      </c>
      <c r="Q5" s="24" t="str">
        <f>VLOOKUP(A5,TestInfo!A:L,12,FALSE)</f>
        <v>SCSM (Belarus), PIWET (Poland)</v>
      </c>
      <c r="R5" s="24" t="str">
        <f>VLOOKUP(A5,TestInfo!A:M,13,FALSE)</f>
        <v>Belarus, Poland</v>
      </c>
      <c r="S5" s="24"/>
    </row>
    <row r="6" spans="1:19" s="23" customFormat="1" ht="17">
      <c r="A6" s="41" t="s">
        <v>148</v>
      </c>
      <c r="B6" s="20" t="str">
        <f>VLOOKUP(A6,TestInfo!A:H,2,FALSE)</f>
        <v>Charm Enrofloxacin Test</v>
      </c>
      <c r="C6" s="25" t="str">
        <f>VLOOKUP(A6,TestInfo!A:H,3,FALSE)</f>
        <v>Cow</v>
      </c>
      <c r="D6" s="25" t="str">
        <f>VLOOKUP(A6,TestInfo!A:H,4,FALSE)</f>
        <v>US, MRL/Global</v>
      </c>
      <c r="E6" s="25" t="str">
        <f>VLOOKUP(A6,TestInfo!A:H,5,FALSE)</f>
        <v>Enrofloxacin</v>
      </c>
      <c r="F6" s="20">
        <f>VLOOKUP(A6,TestInfo!A:H,6,FALSE)</f>
        <v>0</v>
      </c>
      <c r="G6" s="20" t="str">
        <f>VLOOKUP(A6,TestInfo!A:H,7,FALSE)</f>
        <v>https://drive.google.com/thumbnail?id=1lb8fwWKcoEQCr0sjnFOIWEWvlMNgn-Zd</v>
      </c>
      <c r="H6" s="20">
        <f>VLOOKUP(A6,TestInfo!A:H,8,FALSE)</f>
        <v>0</v>
      </c>
      <c r="I6" s="25" t="str">
        <f>VLOOKUP(A6,TestDrugs!A:C,2,FALSE)</f>
        <v xml:space="preserve">Enrofloxacin </v>
      </c>
      <c r="J6" s="25" t="str">
        <f>VLOOKUP(A6,TestDrugs!A:C,3,FALSE)</f>
        <v>Baytril 100, Enroflox 100</v>
      </c>
      <c r="K6" s="42"/>
      <c r="L6" s="24"/>
      <c r="M6" s="24"/>
      <c r="N6" s="24" t="str">
        <f>VLOOKUP(A6,TestInfo!A:I,9,FALSE)</f>
        <v>8 minutes</v>
      </c>
      <c r="O6" s="24" t="str">
        <f>VLOOKUP(A6,TestInfo!A:J,10,FALSE)</f>
        <v>56 °C</v>
      </c>
      <c r="P6" s="24" t="str">
        <f>VLOOKUP(A6,TestInfo!A:K,11,FALSE)</f>
        <v>Charm EZ, Charm EZ Lite, ROSA Pearl-X Reader, Charm Field Incubator, ROSA Incubators</v>
      </c>
      <c r="Q6" s="24">
        <f>VLOOKUP(A6,TestInfo!A:L,12,FALSE)</f>
        <v>0</v>
      </c>
      <c r="R6" s="24" t="str">
        <f>VLOOKUP(A6,TestInfo!A:M,13,FALSE)</f>
        <v>US, Europe</v>
      </c>
      <c r="S6" s="24"/>
    </row>
    <row r="7" spans="1:19" ht="50" customHeight="1">
      <c r="A7" s="25" t="s">
        <v>11</v>
      </c>
      <c r="B7" s="20" t="str">
        <f>VLOOKUP(A7,TestInfo!A:H,2,FALSE)</f>
        <v>Charm Flunixin and Beta-lactam Test</v>
      </c>
      <c r="C7" s="25" t="str">
        <f>VLOOKUP(A7,TestInfo!A:H,3,FALSE)</f>
        <v>Cow</v>
      </c>
      <c r="D7" s="25" t="str">
        <f>VLOOKUP(A7,TestInfo!A:H,4,FALSE)</f>
        <v>US</v>
      </c>
      <c r="E7" s="25" t="str">
        <f>VLOOKUP(A7,TestInfo!A:H,5,FALSE)</f>
        <v>Beta-lactams, Flunixin</v>
      </c>
      <c r="F7" s="20">
        <f>VLOOKUP(A7,TestInfo!A:H,6,FALSE)</f>
        <v>0</v>
      </c>
      <c r="G7" s="20" t="str">
        <f>VLOOKUP(A7,TestInfo!A:H,7,FALSE)</f>
        <v>https://drive.google.com/thumbnail?id=1IEqBNLuRh5tU1hRHJm6iBPK9Ys7nDayW</v>
      </c>
      <c r="H7" s="20" t="str">
        <f>VLOOKUP(A7,TestInfo!A:H,8,FALSE)</f>
        <v>http://www.charm.com/products/test-and-kits/antibiotic-tests/rosa-lateral-flow/fluslbl-charm-flunixin-and-beta-lactam-test/</v>
      </c>
      <c r="I7" s="25" t="str">
        <f>VLOOKUP(A7,TestDrugs!A:C,2,FALSE)</f>
        <v>Flunixin, Amoxicillin, Ampicillin, Ceftiofur, Cephapirin, Penicillin G</v>
      </c>
      <c r="J7" s="25" t="str">
        <f>VLOOKUP(A7,TestDrugs!A:C,3,FALSE)</f>
        <v>Banamine, Flu-Nix, Flunazine, Flunixin Injection, Flunixin Meglumine Injection, Hexasol Injection, Prevail, Resflor Gold, VetaMeg, 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K7" s="42"/>
      <c r="L7" s="20"/>
      <c r="M7" s="20"/>
      <c r="N7" s="24" t="str">
        <f>VLOOKUP(A7,TestInfo!A:I,9,FALSE)</f>
        <v>8 minutes</v>
      </c>
      <c r="O7" s="24" t="str">
        <f>VLOOKUP(A7,TestInfo!A:J,10,FALSE)</f>
        <v>56 °C</v>
      </c>
      <c r="P7" s="24" t="str">
        <f>VLOOKUP(A7,TestInfo!A:K,11,FALSE)</f>
        <v>Charm EZ, Charm EZ Lite, ROSA Pearl-X Reader, Charm Field Incubator, ROSA Incubators</v>
      </c>
      <c r="Q7" s="24" t="str">
        <f>VLOOKUP(A7,TestInfo!A:L,12,FALSE)</f>
        <v>US FDA/NCIMS</v>
      </c>
      <c r="R7" s="24" t="str">
        <f>VLOOKUP(A7,TestInfo!A:M,13,FALSE)</f>
        <v>US</v>
      </c>
      <c r="S7" s="24"/>
    </row>
    <row r="8" spans="1:19" ht="50" customHeight="1">
      <c r="A8" s="25" t="s">
        <v>218</v>
      </c>
      <c r="B8" s="20" t="str">
        <f>VLOOKUP(A8,TestInfo!A:H,2,FALSE)</f>
        <v>Charm Gentamicin Test</v>
      </c>
      <c r="C8" s="25" t="str">
        <f>VLOOKUP(A8,TestInfo!A:H,3,FALSE)</f>
        <v>Cow</v>
      </c>
      <c r="D8" s="25" t="str">
        <f>VLOOKUP(A8,TestInfo!A:H,4,FALSE)</f>
        <v>US, MRL/Global</v>
      </c>
      <c r="E8" s="25" t="str">
        <f>VLOOKUP(A8,TestInfo!A:H,5,FALSE)</f>
        <v>Gentamicin</v>
      </c>
      <c r="F8" s="20">
        <f>VLOOKUP(A8,TestInfo!A:H,6,FALSE)</f>
        <v>0</v>
      </c>
      <c r="G8" s="20" t="str">
        <f>VLOOKUP(A8,TestInfo!A:H,7,FALSE)</f>
        <v>https://drive.google.com/thumbnail?id=1DlVNnH4ocwpc87HyQH8BtLR8cu8kYaGt</v>
      </c>
      <c r="H8" s="20">
        <f>VLOOKUP(A8,TestInfo!A:H,8,FALSE)</f>
        <v>0</v>
      </c>
      <c r="I8" s="25" t="str">
        <f>VLOOKUP(A8,TestDrugs!A:C,2,FALSE)</f>
        <v xml:space="preserve">Gentamicin </v>
      </c>
      <c r="J8" s="25" t="str">
        <f>VLOOKUP(A8,TestDrugs!A:C,3,FALSE)</f>
        <v>Gentocin Pink Eye Spray</v>
      </c>
      <c r="K8" s="20"/>
      <c r="L8" s="20"/>
      <c r="M8" s="20"/>
      <c r="N8" s="24" t="str">
        <f>VLOOKUP(A8,TestInfo!A:I,9,FALSE)</f>
        <v>3 minutes</v>
      </c>
      <c r="O8" s="24" t="str">
        <f>VLOOKUP(A8,TestInfo!A:J,10,FALSE)</f>
        <v>56 °C</v>
      </c>
      <c r="P8" s="24" t="str">
        <f>VLOOKUP(A8,TestInfo!A:K,11,FALSE)</f>
        <v>Charm EZ, Charm EZ Lite, ROSA Pearl-X Reader, Charm Field Incubator, ROSA Incubators</v>
      </c>
      <c r="Q8" s="24">
        <f>VLOOKUP(A8,TestInfo!A:L,12,FALSE)</f>
        <v>0</v>
      </c>
      <c r="R8" s="24" t="str">
        <f>VLOOKUP(A8,TestInfo!A:M,13,FALSE)</f>
        <v>US, Europe, India, South America</v>
      </c>
      <c r="S8" s="24"/>
    </row>
    <row r="9" spans="1:19" ht="50" customHeight="1">
      <c r="A9" s="25" t="s">
        <v>105</v>
      </c>
      <c r="B9" s="20" t="str">
        <f>VLOOKUP(A9,TestInfo!A:H,2,FALSE)</f>
        <v>Charm MRL Aflatoxin M1 Quantitative Test</v>
      </c>
      <c r="C9" s="25" t="str">
        <f>VLOOKUP(A9,TestInfo!A:H,3,FALSE)</f>
        <v>Cow</v>
      </c>
      <c r="D9" s="25" t="str">
        <f>VLOOKUP(A9,TestInfo!A:H,4,FALSE)</f>
        <v>MRL/Global</v>
      </c>
      <c r="E9" s="25" t="str">
        <f>VLOOKUP(A9,TestInfo!A:H,5,FALSE)</f>
        <v>Aflatoxin M1</v>
      </c>
      <c r="F9" s="20">
        <f>VLOOKUP(A9,TestInfo!A:H,6,FALSE)</f>
        <v>0</v>
      </c>
      <c r="G9" s="20" t="str">
        <f>VLOOKUP(A9,TestInfo!A:H,7,FALSE)</f>
        <v>https://drive.google.com/thumbnail?id=1wx3ePlbEDLvIjmceh8hFZmJfg7KAaFOZ</v>
      </c>
      <c r="H9" s="20" t="str">
        <f>VLOOKUP(A9,TestInfo!A:H,8,FALSE)</f>
        <v>http://www.charm.com/products/test-and-kits/antibiotic-tests/rosa-lateral-flow/mrlafmq-charm-mrl-aflatoxin-m1-quantitative-test/</v>
      </c>
      <c r="I9" s="25" t="str">
        <f>VLOOKUP(A9,TestDrugs!A:C,2,FALSE)</f>
        <v>Aflatoxin M1</v>
      </c>
      <c r="J9" s="25">
        <f>VLOOKUP(A9,TestDrugs!A:C,3,FALSE)</f>
        <v>0</v>
      </c>
      <c r="K9" s="20"/>
      <c r="L9" s="20"/>
      <c r="M9" s="20"/>
      <c r="N9" s="24" t="str">
        <f>VLOOKUP(A9,TestInfo!A:I,9,FALSE)</f>
        <v>15 minutes</v>
      </c>
      <c r="O9" s="24" t="str">
        <f>VLOOKUP(A9,TestInfo!A:J,10,FALSE)</f>
        <v>40 °C</v>
      </c>
      <c r="P9" s="24" t="str">
        <f>VLOOKUP(A9,TestInfo!A:K,11,FALSE)</f>
        <v>Charm EZ, Charm EZ Lite, ROSA Pearl-X Reader, Charm Field Incubator, ROSA Incubators</v>
      </c>
      <c r="Q9" s="24" t="str">
        <f>VLOOKUP(A9,TestInfo!A:L,12,FALSE)</f>
        <v>SCSM (Belarus), ILVO (Belgium)</v>
      </c>
      <c r="R9" s="24" t="str">
        <f>VLOOKUP(A9,TestInfo!A:M,13,FALSE)</f>
        <v>Belarus, Europe</v>
      </c>
      <c r="S9" s="24"/>
    </row>
    <row r="10" spans="1:19" ht="50" customHeight="1">
      <c r="A10" s="25" t="s">
        <v>8</v>
      </c>
      <c r="B10" s="20" t="str">
        <f>VLOOKUP(A10,TestInfo!A:H,2,FALSE)</f>
        <v>Charm MRL Beta-lactam Test</v>
      </c>
      <c r="C10" s="25" t="str">
        <f>VLOOKUP(A10,TestInfo!A:H,3,FALSE)</f>
        <v>Cow</v>
      </c>
      <c r="D10" s="25" t="str">
        <f>VLOOKUP(A10,TestInfo!A:H,4,FALSE)</f>
        <v>MRL/Global</v>
      </c>
      <c r="E10" s="25" t="str">
        <f>VLOOKUP(A10,TestInfo!A:H,5,FALSE)</f>
        <v>Beta-lactams</v>
      </c>
      <c r="F10" s="20">
        <f>VLOOKUP(A10,TestInfo!A:H,6,FALSE)</f>
        <v>0</v>
      </c>
      <c r="G10" s="20" t="str">
        <f>VLOOKUP(A10,TestInfo!A:H,7,FALSE)</f>
        <v>https://drive.google.com/thumbnail?id=1XmEV78VdRF58DxJ22ql9UkWpYBZ6fqoq</v>
      </c>
      <c r="H10" s="20" t="str">
        <f>VLOOKUP(A10,TestInfo!A:H,8,FALSE)</f>
        <v>http://www.charm.com/products/test-and-kits/antibiotic-tests/rosa-lateral-flow/mrlbl-charm-mrl-beta-lactam-test/</v>
      </c>
      <c r="I10" s="25" t="str">
        <f>VLOOKUP(A10,TestDrugs!A:C,2,FALSE)</f>
        <v>Amoxicillin, Ampicillin, Cefacetrile, Cefalexin, Cefalonium, Cefazolin, Cefoperazone, Cefquinome, Ceftiofur, Cephapirin, Cloxacillin, Dicloxacillin, Penicillin G</v>
      </c>
      <c r="J10" s="25" t="str">
        <f>VLOOKUP(A10,TestDrugs!A:C,3,FALSE)</f>
        <v>Amoxi-Bol, Amoxi-Inject (Cattle), Amoxi-Sol, Ampi-Bol, Ampicillin Trihydrate, Polyflex, Princillin Bolus, Princillin Injection, , , , , , , Ceftiofur for Injection, EXCEDE, Excenel, Naxcel Sterile Powder, SPECTRAMAST DC, SPECTRAMAST LC, Cefa-Dri, Cefa-Lak, Today, Tomorrow, Tomorrow Infusion, Boviclox, Dariclox, Dry-Clox, Orbenin DC,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K10" s="20"/>
      <c r="L10" s="20"/>
      <c r="M10" s="20"/>
      <c r="N10" s="24" t="str">
        <f>VLOOKUP(A10,TestInfo!A:I,9,FALSE)</f>
        <v>8 minutes</v>
      </c>
      <c r="O10" s="24" t="str">
        <f>VLOOKUP(A10,TestInfo!A:J,10,FALSE)</f>
        <v>56 °C</v>
      </c>
      <c r="P10" s="24" t="str">
        <f>VLOOKUP(A10,TestInfo!A:K,11,FALSE)</f>
        <v>Charm EZ, Charm EZ Lite, ROSA Pearl-X Reader, Charm Field Incubator, ROSA Incubators</v>
      </c>
      <c r="Q10" s="24" t="str">
        <f>VLOOKUP(A10,TestInfo!A:L,12,FALSE)</f>
        <v>PIWET (Poland),  NZFSA (New Zealand)</v>
      </c>
      <c r="R10" s="24" t="str">
        <f>VLOOKUP(A10,TestInfo!A:M,13,FALSE)</f>
        <v>Europe, New Zealand</v>
      </c>
      <c r="S10" s="24"/>
    </row>
    <row r="11" spans="1:19" ht="50" customHeight="1">
      <c r="A11" s="25" t="s">
        <v>134</v>
      </c>
      <c r="B11" s="20" t="str">
        <f>VLOOKUP(A11,TestInfo!A:H,2,FALSE)</f>
        <v>Charm MRL Beta-lactam 1-Minute Test</v>
      </c>
      <c r="C11" s="25" t="str">
        <f>VLOOKUP(A11,TestInfo!A:H,3,FALSE)</f>
        <v>Cow</v>
      </c>
      <c r="D11" s="25" t="str">
        <f>VLOOKUP(A11,TestInfo!A:H,4,FALSE)</f>
        <v>MRL/Global</v>
      </c>
      <c r="E11" s="25" t="str">
        <f>VLOOKUP(A11,TestInfo!A:H,5,FALSE)</f>
        <v>Beta-lactams</v>
      </c>
      <c r="F11" s="20">
        <f>VLOOKUP(A11,TestInfo!A:H,6,FALSE)</f>
        <v>0</v>
      </c>
      <c r="G11" s="20" t="str">
        <f>VLOOKUP(A11,TestInfo!A:H,7,FALSE)</f>
        <v>https://drive.google.com/thumbnail?id=18EWigZ_q0HCgapnY1vriI3pYf_V6x7--</v>
      </c>
      <c r="H11" s="20" t="str">
        <f>VLOOKUP(A11,TestInfo!A:H,8,FALSE)</f>
        <v>http://www.charm.com/products/test-and-kits/antibiotic-tests/rosa-lateral-flow/mrlbl1-charm-mrl-beta-lactam-1-minute-test/</v>
      </c>
      <c r="I11" s="25" t="str">
        <f>VLOOKUP(A11,TestDrugs!A:C,2,FALSE)</f>
        <v>Amoxicillin, Ampicillin, Cefacetrile, Cefalonium, Cefazolin, Cefoperazone, Cefquinome, Ceftiofur, Cephapirin, Cloxacillin, Dicloxacillin, Oxacillin, Penicillin G</v>
      </c>
      <c r="J11" s="25" t="str">
        <f>VLOOKUP(A11,TestDrugs!A:C,3,FALSE)</f>
        <v>Amoxi-Bol, Amoxi-Inject (Cattle), Amoxi-Sol, Ampi-Bol, Ampicillin Trihydrate, Polyflex, Princillin Bolus, Princillin Injection,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K11" s="20"/>
      <c r="L11" s="20"/>
      <c r="M11" s="20"/>
      <c r="N11" s="24" t="str">
        <f>VLOOKUP(A11,TestInfo!A:I,9,FALSE)</f>
        <v>1 minute</v>
      </c>
      <c r="O11" s="24" t="str">
        <f>VLOOKUP(A11,TestInfo!A:J,10,FALSE)</f>
        <v>56 °C</v>
      </c>
      <c r="P11" s="24" t="str">
        <f>VLOOKUP(A11,TestInfo!A:K,11,FALSE)</f>
        <v>Charm EZ, Charm EZ Lite, ROSA Pearl-X Reader, Charm Field Incubator, ROSA Incubators</v>
      </c>
      <c r="Q11" s="24" t="str">
        <f>VLOOKUP(A11,TestInfo!A:L,12,FALSE)</f>
        <v xml:space="preserve">PIWET (Poland), ILVO (Belgium) </v>
      </c>
      <c r="R11" s="24" t="str">
        <f>VLOOKUP(A11,TestInfo!A:M,13,FALSE)</f>
        <v>Poland, Belgium</v>
      </c>
      <c r="S11" s="24"/>
    </row>
    <row r="12" spans="1:19" ht="50" customHeight="1">
      <c r="A12" s="25" t="s">
        <v>14</v>
      </c>
      <c r="B12" s="20" t="str">
        <f>VLOOKUP(A12,TestInfo!A:H,2,FALSE)</f>
        <v>Charm MRL Beta-lactam 3-Minute Test</v>
      </c>
      <c r="C12" s="25" t="str">
        <f>VLOOKUP(A12,TestInfo!A:H,3,FALSE)</f>
        <v>Cow, Goat, Sheep</v>
      </c>
      <c r="D12" s="25" t="str">
        <f>VLOOKUP(A12,TestInfo!A:H,4,FALSE)</f>
        <v>MRL/Global</v>
      </c>
      <c r="E12" s="25" t="str">
        <f>VLOOKUP(A12,TestInfo!A:H,5,FALSE)</f>
        <v>Beta-lactams</v>
      </c>
      <c r="F12" s="20">
        <f>VLOOKUP(A12,TestInfo!A:H,6,FALSE)</f>
        <v>0</v>
      </c>
      <c r="G12" s="20" t="str">
        <f>VLOOKUP(A12,TestInfo!A:H,7,FALSE)</f>
        <v>https://drive.google.com/thumbnail?id=1gvDaOGi4K4MRdJirD4PqoLz0DPHr-dYt</v>
      </c>
      <c r="H12" s="20" t="str">
        <f>VLOOKUP(A12,TestInfo!A:H,8,FALSE)</f>
        <v>http://www.charm.com/products/test-and-kits/antibiotic-tests/rosa-lateral-flow/mrlbl3-charm-mrl-beta-lactam-3-minute-test/</v>
      </c>
      <c r="I12" s="25" t="str">
        <f>VLOOKUP(A12,TestDrugs!A:C,2,FALSE)</f>
        <v>Amoxicillin, Ampicillin, Cefacetrile, Cefalexin, Cefalonium, Cefazolin, Cefoperazone, Cefquinome, Ceftiofur, Cephapirin, Cloxacillin, Dicloxacillin, Oxacillin, Penicillin G</v>
      </c>
      <c r="J12" s="25" t="str">
        <f>VLOOKUP(A12,TestDrugs!A:C,3,FALSE)</f>
        <v>Amoxi-Bol, Amoxi-Inject (Cattle), Amoxi-Sol, Ampi-Bol, Ampicillin Trihydrate, Polyflex, Princillin Bolus, Princillin Injection, 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K12" s="20"/>
      <c r="L12" s="20"/>
      <c r="M12" s="20"/>
      <c r="N12" s="24" t="str">
        <f>VLOOKUP(A12,TestInfo!A:I,9,FALSE)</f>
        <v>3 minutes</v>
      </c>
      <c r="O12" s="24" t="str">
        <f>VLOOKUP(A12,TestInfo!A:J,10,FALSE)</f>
        <v>56 °C</v>
      </c>
      <c r="P12" s="24" t="str">
        <f>VLOOKUP(A12,TestInfo!A:K,11,FALSE)</f>
        <v>Charm EZ, Charm EZ Lite, ROSA Pearl-X Reader, Charm Field Incubator, ROSA Incubators</v>
      </c>
      <c r="Q12" s="24" t="str">
        <f>VLOOKUP(A12,TestInfo!A:L,12,FALSE)</f>
        <v xml:space="preserve">MPI (New Zealand), ILVO (Belgium) </v>
      </c>
      <c r="R12" s="24" t="str">
        <f>VLOOKUP(A12,TestInfo!A:M,13,FALSE)</f>
        <v>Europe, New Zealand</v>
      </c>
      <c r="S12" s="24"/>
    </row>
    <row r="13" spans="1:19" ht="50" customHeight="1">
      <c r="A13" s="25" t="s">
        <v>78</v>
      </c>
      <c r="B13" s="20" t="str">
        <f>VLOOKUP(A13,TestInfo!A:H,2,FALSE)</f>
        <v>Charm MRL Beta-lactam and RF Tetracycline 2-Minute Test</v>
      </c>
      <c r="C13" s="25" t="str">
        <f>VLOOKUP(A13,TestInfo!A:H,3,FALSE)</f>
        <v>Cow, Goat, Sheep</v>
      </c>
      <c r="D13" s="25" t="str">
        <f>VLOOKUP(A13,TestInfo!A:H,4,FALSE)</f>
        <v>MRL/Global</v>
      </c>
      <c r="E13" s="25" t="str">
        <f>VLOOKUP(A13,TestInfo!A:H,5,FALSE)</f>
        <v>Beta-lactams, Tetracyclines</v>
      </c>
      <c r="F13" s="20">
        <f>VLOOKUP(A13,TestInfo!A:H,6,FALSE)</f>
        <v>0</v>
      </c>
      <c r="G13" s="20" t="str">
        <f>VLOOKUP(A13,TestInfo!A:H,7,FALSE)</f>
        <v>https://drive.google.com/thumbnail?id=19X-l4RUyUDWAvXxRk7JKORlFeJ4hoZ3C</v>
      </c>
      <c r="H13" s="20" t="str">
        <f>VLOOKUP(A13,TestInfo!A:H,8,FALSE)</f>
        <v>http://www.charm.com/products/test-and-kits/antibiotic-tests/rosa-lateral-flow/mrlblrftet2-charm-mrl-beta-lactam-and-rf-tetracycline-2-minute-test/</v>
      </c>
      <c r="I13" s="25" t="str">
        <f>VLOOKUP(A13,TestDrugs!A:C,2,FALSE)</f>
        <v>Amoxicillin, Ampicillin, Cefacetrile, Cefalonium, Cefazolin, Cefoperazone, Cefquinome, Ceftiofur, Cephapirin, Cloxacillin, Dicloxacillin, Oxacillin, Penicillin G, Chlortetracycline, Doxycycline, Oxytetracycline, Tetracycline</v>
      </c>
      <c r="J13" s="25" t="str">
        <f>VLOOKUP(A13,TestDrugs!A:C,3,FALSE)</f>
        <v>Amoxi-Bol, Amoxi-Inject (Cattle), Amoxi-Sol, Ampi-Bol, Ampicillin Trihydrate, Polyflex, Princillin Bolus, Princillin Injection,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Aureo S 700, Aureomix, Aureomycin, Chloratet, ChlorMax, Chloromax, Chloronex, Chlortetracycline hydrochloride soluble powder, Chlortetracycline, CLTC, CTC Bisulfate Soluble Powder, Deracin, Fermycin Soluble, Pennchlor, PfiChlor, 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K13" s="20"/>
      <c r="L13" s="20"/>
      <c r="M13" s="20"/>
      <c r="N13" s="24" t="str">
        <f>VLOOKUP(A13,TestInfo!A:I,9,FALSE)</f>
        <v>2 minutes</v>
      </c>
      <c r="O13" s="24" t="str">
        <f>VLOOKUP(A13,TestInfo!A:J,10,FALSE)</f>
        <v>56 °C</v>
      </c>
      <c r="P13" s="24" t="str">
        <f>VLOOKUP(A13,TestInfo!A:K,11,FALSE)</f>
        <v>Charm EZ, Charm EZ Lite, ROSA Pearl-X Reader, Charm Field Incubator, ROSA Incubators</v>
      </c>
      <c r="Q13" s="24" t="str">
        <f>VLOOKUP(A13,TestInfo!A:L,12,FALSE)</f>
        <v>PIWET (Poland), ILVO (Belgium), GOST (Russian Federation), SCSM (Belarus)</v>
      </c>
      <c r="R13" s="24" t="str">
        <f>VLOOKUP(A13,TestInfo!A:M,13,FALSE)</f>
        <v>Europe</v>
      </c>
      <c r="S13" s="24"/>
    </row>
    <row r="14" spans="1:19" ht="50" customHeight="1">
      <c r="A14" s="25" t="s">
        <v>9</v>
      </c>
      <c r="B14" s="20" t="str">
        <f>VLOOKUP(A14,TestInfo!A:H,2,FALSE)</f>
        <v>Charm MRL Beta-lactam and Tetracycline Test</v>
      </c>
      <c r="C14" s="25" t="str">
        <f>VLOOKUP(A14,TestInfo!A:H,3,FALSE)</f>
        <v>Cow, Goat, Sheep</v>
      </c>
      <c r="D14" s="25" t="str">
        <f>VLOOKUP(A14,TestInfo!A:H,4,FALSE)</f>
        <v>MRL/Global</v>
      </c>
      <c r="E14" s="25" t="str">
        <f>VLOOKUP(A14,TestInfo!A:H,5,FALSE)</f>
        <v>Beta-lactams, Tetracyclines</v>
      </c>
      <c r="F14" s="20">
        <f>VLOOKUP(A14,TestInfo!A:H,6,FALSE)</f>
        <v>0</v>
      </c>
      <c r="G14" s="20" t="str">
        <f>VLOOKUP(A14,TestInfo!A:H,7,FALSE)</f>
        <v>https://drive.google.com/thumbnail?id=1YcsKHSAKi-Uw5axidBatUWTzcSvmEvYb</v>
      </c>
      <c r="H14" s="20" t="str">
        <f>VLOOKUP(A14,TestInfo!A:H,8,FALSE)</f>
        <v>http://www.charm.com/products/test-and-kits/antibiotic-tests/rosa-lateral-flow/mrlbltet2-charm-mrl-beta-lactam-and-tetracycline-2-minutetest/</v>
      </c>
      <c r="I14" s="25" t="str">
        <f>VLOOKUP(A14,TestDrugs!A:C,2,FALSE)</f>
        <v>Amoxicillin, Ampicillin, Cefacetrile, Cefalexin, Cefalonium, Cefazolin, Cefoperazone, Cefquinome, Ceftiofur, Cephapirin, Cloxacillin, Dicloxacillin, Penicillin G, Chlortetracycline, Oxytetracycline, Tetracycline</v>
      </c>
      <c r="J14" s="25" t="str">
        <f>VLOOKUP(A14,TestDrugs!A:C,3,FALSE)</f>
        <v>Amoxi-Bol, Amoxi-Inject (Cattle), Amoxi-Sol, Ampi-Bol, Ampicillin Trihydrate, Polyflex, Princillin Bolus, Princillin Injection, , , , , , , Ceftiofur for Injection, EXCEDE, Excenel, Naxcel Sterile Powder, SPECTRAMAST DC, SPECTRAMAST LC, Cefa-Dri, Cefa-Lak, Today, Tomorrow, Tomorrow Infusion, Boviclox, Dariclox, Dry-Clox, Orbenin DC,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Aureo S 700, Aureomix, Aureomycin, Chloratet, ChlorMax, Chloromax, Chloronex, Chlortetracycline hydrochloride soluble powder, Chlortetracycline, CLTC, CTC Bisulfate Soluble Powder, Deracin, Fermycin Soluble, Pennchlor, PfiChlor,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K14" s="20"/>
      <c r="L14" s="20"/>
      <c r="M14" s="20"/>
      <c r="N14" s="24" t="str">
        <f>VLOOKUP(A14,TestInfo!A:I,9,FALSE)</f>
        <v>8 minutes</v>
      </c>
      <c r="O14" s="24" t="str">
        <f>VLOOKUP(A14,TestInfo!A:J,10,FALSE)</f>
        <v>56 °C</v>
      </c>
      <c r="P14" s="24" t="str">
        <f>VLOOKUP(A14,TestInfo!A:K,11,FALSE)</f>
        <v>Charm EZ, Charm EZ Lite, ROSA Pearl-X Reader, Charm Field Incubator, ROSA Incubators</v>
      </c>
      <c r="Q14" s="24" t="str">
        <f>VLOOKUP(A14,TestInfo!A:L,12,FALSE)</f>
        <v>PIWET (Poland), ILVO (Belgium), CNIEL (France), EMBRAPA (Brazil), SCSM (Belarus)</v>
      </c>
      <c r="R14" s="24" t="str">
        <f>VLOOKUP(A14,TestInfo!A:M,13,FALSE)</f>
        <v>Europe, Brazil, Belarus</v>
      </c>
      <c r="S14" s="24"/>
    </row>
    <row r="15" spans="1:19" ht="50" customHeight="1">
      <c r="A15" s="25" t="s">
        <v>15</v>
      </c>
      <c r="B15" s="20" t="str">
        <f>VLOOKUP(A15,TestInfo!A:H,2,FALSE)</f>
        <v>Charm MRL Beta-lactam and Tetracycline 2-Minute Test</v>
      </c>
      <c r="C15" s="25" t="str">
        <f>VLOOKUP(A15,TestInfo!A:H,3,FALSE)</f>
        <v>Cow, Goat, Sheep</v>
      </c>
      <c r="D15" s="25" t="str">
        <f>VLOOKUP(A15,TestInfo!A:H,4,FALSE)</f>
        <v>MRL/Global</v>
      </c>
      <c r="E15" s="25" t="str">
        <f>VLOOKUP(A15,TestInfo!A:H,5,FALSE)</f>
        <v>Beta-lactams, Tetracyclines</v>
      </c>
      <c r="F15" s="20">
        <f>VLOOKUP(A15,TestInfo!A:H,6,FALSE)</f>
        <v>0</v>
      </c>
      <c r="G15" s="20" t="str">
        <f>VLOOKUP(A15,TestInfo!A:H,7,FALSE)</f>
        <v>https://drive.google.com/thumbnail?id=12que7Oewst84Ojn74ZdlVq74th3tNhlM</v>
      </c>
      <c r="H15" s="20" t="str">
        <f>VLOOKUP(A15,TestInfo!A:H,8,FALSE)</f>
        <v>http://www.charm.com/products/test-and-kits/antibiotic-tests/rosa-lateral-flow/mrlbltet-charm-mrl-beta-lactam-and-tetracycline-test/</v>
      </c>
      <c r="I15" s="25" t="str">
        <f>VLOOKUP(A15,TestDrugs!A:C,2,FALSE)</f>
        <v>Amoxicillin, Ampicillin, Cefacetrile, Cefalonium, Cefazolin, Cefoperazone, Cefquinome, Ceftiofur, Cephapirin, Cloxacillin, Dicloxacillin, Oxacillin, Penicillin G, Chlortetracycline, Oxytetracycline, Tetracycline</v>
      </c>
      <c r="J15" s="25" t="str">
        <f>VLOOKUP(A15,TestDrugs!A:C,3,FALSE)</f>
        <v>Amoxi-Bol, Amoxi-Inject (Cattle), Amoxi-Sol, Ampi-Bol, Ampicillin Trihydrate, Polyflex, Princillin Bolus, Princillin Injection,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Aureo S 700, Aureomix, Aureomycin, Chloratet, ChlorMax, Chloromax, Chloronex, Chlortetracycline hydrochloride soluble powder, Chlortetracycline, CLTC, CTC Bisulfate Soluble Powder, Deracin, Fermycin Soluble, Pennchlor, PfiChlor,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K15" s="20"/>
      <c r="L15" s="20"/>
      <c r="M15" s="20"/>
      <c r="N15" s="24" t="str">
        <f>VLOOKUP(A15,TestInfo!A:I,9,FALSE)</f>
        <v>2 minutes</v>
      </c>
      <c r="O15" s="24" t="str">
        <f>VLOOKUP(A15,TestInfo!A:J,10,FALSE)</f>
        <v>56 °C</v>
      </c>
      <c r="P15" s="24" t="str">
        <f>VLOOKUP(A15,TestInfo!A:K,11,FALSE)</f>
        <v>Charm EZ, Charm EZ Lite, ROSA Pearl-X Reader, Charm Field Incubator, ROSA Incubators</v>
      </c>
      <c r="Q15" s="24" t="str">
        <f>VLOOKUP(A15,TestInfo!A:L,12,FALSE)</f>
        <v>ILVO (Belgium)</v>
      </c>
      <c r="R15" s="24" t="str">
        <f>VLOOKUP(A15,TestInfo!A:M,13,FALSE)</f>
        <v>Europe</v>
      </c>
      <c r="S15" s="24"/>
    </row>
    <row r="16" spans="1:19" ht="50" customHeight="1">
      <c r="A16" s="25" t="s">
        <v>149</v>
      </c>
      <c r="B16" s="20" t="str">
        <f>VLOOKUP(A16,TestInfo!A:H,2,FALSE)</f>
        <v>Charm Neomycin and Streptomycin Test</v>
      </c>
      <c r="C16" s="25" t="str">
        <f>VLOOKUP(A16,TestInfo!A:H,3,FALSE)</f>
        <v>Cow, Goat, Sheep</v>
      </c>
      <c r="D16" s="25" t="str">
        <f>VLOOKUP(A16,TestInfo!A:H,4,FALSE)</f>
        <v>MRL/Global</v>
      </c>
      <c r="E16" s="25" t="str">
        <f>VLOOKUP(A16,TestInfo!A:H,5,FALSE)</f>
        <v>Neomycin
Streptomycins</v>
      </c>
      <c r="F16" s="20">
        <f>VLOOKUP(A16,TestInfo!A:H,6,FALSE)</f>
        <v>0</v>
      </c>
      <c r="G16" s="20" t="str">
        <f>VLOOKUP(A16,TestInfo!A:H,7,FALSE)</f>
        <v>https://drive.google.com/thumbnail?id=1sxRZm4qIxrA-f77ERZislyFu0iXt00On</v>
      </c>
      <c r="H16" s="20">
        <f>VLOOKUP(A16,TestInfo!A:H,8,FALSE)</f>
        <v>0</v>
      </c>
      <c r="I16" s="25" t="str">
        <f>VLOOKUP(A16,TestDrugs!A:C,2,FALSE)</f>
        <v>Dihydrostreptomycin, Neomycin, Streptomycin</v>
      </c>
      <c r="J16" s="25" t="str">
        <f>VLOOKUP(A16,TestDrugs!A:C,3,FALSE)</f>
        <v>Dihydrostreptomycin, Dry-Mast, Pfizer-Strep, Quartermaster Suspension, Biosol Liquid, Neo 200 Oral Solution, Neo Predef Sterile Ointment, Neo-Oxy, Neo-Sol 50, Neo-Terramycin, NeoMed 325 Soluble Powder, NeoMed Soluble Powder, Neomix 325, Neomix Ag 325, Neomycin, Neomycin Sulfate, Neosol Soluble Powder, Neosol-Oral, Strep Sol, Streptomycin Oral Solution</v>
      </c>
      <c r="K16" s="20"/>
      <c r="L16" s="20"/>
      <c r="M16" s="20"/>
      <c r="N16" s="24" t="str">
        <f>VLOOKUP(A16,TestInfo!A:I,9,FALSE)</f>
        <v>3 minutes</v>
      </c>
      <c r="O16" s="24" t="str">
        <f>VLOOKUP(A16,TestInfo!A:J,10,FALSE)</f>
        <v>56 °C</v>
      </c>
      <c r="P16" s="24" t="str">
        <f>VLOOKUP(A16,TestInfo!A:K,11,FALSE)</f>
        <v>Charm EZ, Charm EZ Lite, ROSA Pearl-X Reader, Charm Field Incubator, ROSA Incubators</v>
      </c>
      <c r="Q16" s="24" t="str">
        <f>VLOOKUP(A16,TestInfo!A:L,12,FALSE)</f>
        <v>CNIEL (France), ILVO (Belgium)</v>
      </c>
      <c r="R16" s="24" t="str">
        <f>VLOOKUP(A16,TestInfo!A:M,13,FALSE)</f>
        <v>Europe</v>
      </c>
      <c r="S16" s="24"/>
    </row>
    <row r="17" spans="1:19" ht="50" customHeight="1">
      <c r="A17" s="25" t="s">
        <v>152</v>
      </c>
      <c r="B17" s="20" t="str">
        <f>VLOOKUP(A17,TestInfo!A:H,2,FALSE)</f>
        <v xml:space="preserve">Charm Pirlimycin Test </v>
      </c>
      <c r="C17" s="25" t="str">
        <f>VLOOKUP(A17,TestInfo!A:H,3,FALSE)</f>
        <v>Cow</v>
      </c>
      <c r="D17" s="25" t="str">
        <f>VLOOKUP(A17,TestInfo!A:H,4,FALSE)</f>
        <v>US, MRL/Global</v>
      </c>
      <c r="E17" s="25" t="str">
        <f>VLOOKUP(A17,TestInfo!A:H,5,FALSE)</f>
        <v>Pirlimycin</v>
      </c>
      <c r="F17" s="20">
        <f>VLOOKUP(A17,TestInfo!A:H,6,FALSE)</f>
        <v>0</v>
      </c>
      <c r="G17" s="20" t="str">
        <f>VLOOKUP(A17,TestInfo!A:H,7,FALSE)</f>
        <v>https://drive.google.com/thumbnail?id=1T8cn_Ta_PKLsOiLL5BwnlI7ebMaBN-dk</v>
      </c>
      <c r="H17" s="20">
        <f>VLOOKUP(A17,TestInfo!A:H,8,FALSE)</f>
        <v>0</v>
      </c>
      <c r="I17" s="25" t="str">
        <f>VLOOKUP(A17,TestDrugs!A:C,2,FALSE)</f>
        <v>Pirlimycin</v>
      </c>
      <c r="J17" s="25" t="str">
        <f>VLOOKUP(A17,TestDrugs!A:C,3,FALSE)</f>
        <v>Pirsue Sterile Solution</v>
      </c>
      <c r="K17" s="20"/>
      <c r="L17" s="20"/>
      <c r="M17" s="20"/>
      <c r="N17" s="24" t="str">
        <f>VLOOKUP(A17,TestInfo!A:I,9,FALSE)</f>
        <v>8 minutes</v>
      </c>
      <c r="O17" s="24" t="str">
        <f>VLOOKUP(A17,TestInfo!A:J,10,FALSE)</f>
        <v>56 °C</v>
      </c>
      <c r="P17" s="24" t="str">
        <f>VLOOKUP(A17,TestInfo!A:K,11,FALSE)</f>
        <v>Charm EZ, Charm EZ Lite, ROSA Pearl-X Reader, Charm Field Incubator, ROSA Incubators</v>
      </c>
      <c r="Q17" s="24">
        <f>VLOOKUP(A17,TestInfo!A:L,12,FALSE)</f>
        <v>0</v>
      </c>
      <c r="R17" s="24" t="str">
        <f>VLOOKUP(A17,TestInfo!A:M,13,FALSE)</f>
        <v>US, Europe</v>
      </c>
      <c r="S17" s="24"/>
    </row>
    <row r="18" spans="1:19" ht="50" customHeight="1">
      <c r="A18" s="25" t="s">
        <v>23</v>
      </c>
      <c r="B18" s="20" t="str">
        <f>VLOOKUP(A18,TestInfo!A:H,2,FALSE)</f>
        <v>Charm QUAD Test</v>
      </c>
      <c r="C18" s="25" t="str">
        <f>VLOOKUP(A18,TestInfo!A:H,3,FALSE)</f>
        <v>Cow</v>
      </c>
      <c r="D18" s="25" t="str">
        <f>VLOOKUP(A18,TestInfo!A:H,4,FALSE)</f>
        <v>MRL/Global</v>
      </c>
      <c r="E18" s="25" t="str">
        <f>VLOOKUP(A18,TestInfo!A:H,5,FALSE)</f>
        <v>Streptomycins, Chloramphenicol, Beta-lactams, Tetracyclines</v>
      </c>
      <c r="F18" s="20">
        <f>VLOOKUP(A18,TestInfo!A:H,6,FALSE)</f>
        <v>0</v>
      </c>
      <c r="G18" s="20" t="str">
        <f>VLOOKUP(A18,TestInfo!A:H,7,FALSE)</f>
        <v>https://drive.google.com/thumbnail?id=1Jm9DQpVqlflT_izPEOEMk9pdy0-x-O6C</v>
      </c>
      <c r="H18" s="20" t="str">
        <f>VLOOKUP(A18,TestInfo!A:H,8,FALSE)</f>
        <v>http://www.charm.com/products/test-and-kits/antibiotic-tests/rosa-lateral-flow/quad-charm-quad-test/</v>
      </c>
      <c r="I18" s="25" t="str">
        <f>VLOOKUP(A18,TestDrugs!A:C,2,FALSE)</f>
        <v>Amoxicillin, Ampicillin, Cefacetrile, Cefalonium, Cefazolin, Cefoperazone, Cefquinome, Ceftiofur, Cephapirin, Cloxacillin, Dicloxacillin, Penicillin G, Chlortetracycline, Doxycycline, Oxytetracycline, Tetracycline, Chloramphenicol, Dihydrostreptomycin, Streptomycin</v>
      </c>
      <c r="J18" s="25" t="str">
        <f>VLOOKUP(A18,TestDrugs!A:C,3,FALSE)</f>
        <v>Amoxi-Bol, Amoxi-Inject (Cattle), Amoxi-Sol, Ampi-Bol, Ampicillin Trihydrate, Polyflex, Princillin Bolus, Princillin Injection, , , , , , Ceftiofur for Injection, EXCEDE, Excenel, Naxcel Sterile Powder, SPECTRAMAST DC, SPECTRAMAST LC, Cefa-Dri, Cefa-Lak, Today, Tomorrow, Tomorrow Infusion, Boviclox, Dariclox, Dry-Clox, Orbenin DC,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Aureo S 700, Aureomix, Aureomycin, Chloratet, ChlorMax, Chloromax, Chloronex, Chlortetracycline hydrochloride soluble powder, Chlortetracycline, CLTC, CTC Bisulfate Soluble Powder, Deracin, Fermycin Soluble, Pennchlor, PfiChlor, 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324, , Dihydrostreptomycin, Dry-Mast, Pfizer-Strep, Quartermaster Suspension, Strep Sol, Streptomycin Oral Solution</v>
      </c>
      <c r="K18" s="20"/>
      <c r="L18" s="20"/>
      <c r="M18" s="20"/>
      <c r="N18" s="24" t="str">
        <f>VLOOKUP(A18,TestInfo!A:I,9,FALSE)</f>
        <v>5 minutes</v>
      </c>
      <c r="O18" s="24" t="str">
        <f>VLOOKUP(A18,TestInfo!A:J,10,FALSE)</f>
        <v>40 °C</v>
      </c>
      <c r="P18" s="24" t="str">
        <f>VLOOKUP(A18,TestInfo!A:K,11,FALSE)</f>
        <v>Charm EZ, Charm EZ Lite, Charm Field Incubator, ROSA Incubators</v>
      </c>
      <c r="Q18" s="24" t="str">
        <f>VLOOKUP(A18,TestInfo!A:L,12,FALSE)</f>
        <v>SCVMU (Ukraine), PIWET (Poland), SCSM (Belarus), GOST (Russian Federation)</v>
      </c>
      <c r="R18" s="24" t="str">
        <f>VLOOKUP(A18,TestInfo!A:M,13,FALSE)</f>
        <v>Europe, Poland</v>
      </c>
      <c r="S18" s="24"/>
    </row>
    <row r="19" spans="1:19" ht="50" customHeight="1">
      <c r="A19" s="25" t="s">
        <v>13</v>
      </c>
      <c r="B19" s="20" t="str">
        <f>VLOOKUP(A19,TestInfo!A:H,2,FALSE)</f>
        <v>Charm QUAD1 Test</v>
      </c>
      <c r="C19" s="25" t="str">
        <f>VLOOKUP(A19,TestInfo!A:H,3,FALSE)</f>
        <v>Cow</v>
      </c>
      <c r="D19" s="25" t="str">
        <f>VLOOKUP(A19,TestInfo!A:H,4,FALSE)</f>
        <v>MRL/Global</v>
      </c>
      <c r="E19" s="25" t="str">
        <f>VLOOKUP(A19,TestInfo!A:H,5,FALSE)</f>
        <v>Beta-lactams, Sulfonamides, Tetracyclines, Quinolones</v>
      </c>
      <c r="F19" s="20">
        <f>VLOOKUP(A19,TestInfo!A:H,6,FALSE)</f>
        <v>0</v>
      </c>
      <c r="G19" s="20" t="str">
        <f>VLOOKUP(A19,TestInfo!A:H,7,FALSE)</f>
        <v>https://drive.google.com/thumbnail?id=18nE1g9pEB0ripcKMXohlV4bZ6qvxvi8p</v>
      </c>
      <c r="H19" s="20" t="str">
        <f>VLOOKUP(A19,TestInfo!A:H,8,FALSE)</f>
        <v>http://www.charm.com/products/test-and-kits/antibiotic-tests/rosa-lateral-flow/quad1-charm-quad1-test/</v>
      </c>
      <c r="I19" s="25" t="str">
        <f>VLOOKUP(A19,TestDrugs!A:C,2,FALSE)</f>
        <v>Amoxicillin, Ampicillin, Cefacetrile, Cefalexin, Cefalonium, Cefazolin, Cefoperazone, Cefquinome, Ceftiofur, Cefuroxime, Cephapirin, Cloxacillin, Dicloxacillin, Oxacillin, Penicillin G, Ciprofloxacin, Danofloxacin, Enrofloxacin , Flumequin, Lomefloxacin, Marbofloxacin, Naladixic Acid, Ofloxacin, Norfloxacin, Pefloxacin, Orbifloxacin, Sulfacetamide, Sulfachlorpyridazine, Sulfadiazine, Sulfadimethoxine, Sulfadoxine, Sulfaethoxypyridazine, Sulfamerazine, Sulfamethizole, Sulfadimidine, Sulfamethoxazole, Sulfamethoxypyridazine, Sulfapyridine, Sulfaquinoxaline, Sulfathiazole, Sulfisoxazole, Chlortetracycline, Doxycycline, Oxytetracycline, Tetracycline</v>
      </c>
      <c r="J19" s="25" t="str">
        <f>VLOOKUP(A19,TestDrugs!A:C,3,FALSE)</f>
        <v>Amoxi-Bol, Amoxi-Inject (Cattle), Amoxi-Sol, Ampi-Bol, Ampicillin Trihydrate, Polyflex, Princillin Bolus, Princillin Injection, , , , , , , Ceftiofur for Injection, EXCEDE, Excenel, Naxcel Sterile Powder, SPECTRAMAST DC, SPECTRAMAST LC, 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, Advocin Sterile Injectable Solution, Baytril 100, Enroflox 100, , , , , , , , , , Prinzone, Pyradan, Vetisulid, , Agribon, Albon, Di-Methox, SDM Sulfadimethoxine Concentrated Solution 12.5%, Sulfadimethoxine, SulfaMed, Sulforal, , S.E.Z., , , , , , , Liquid Sul-Q-Nox, , , Aureo S 700, Aureomix, Aureomycin, Chloratet, ChlorMax, Chloromax, Chloronex, Chlortetracycline hydrochloride soluble powder, Chlortetracycline, CLTC, CTC Bisulfate Soluble Powder, Deracin, Fermycin Soluble, Pennchlor, PfiChlor, 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K19" s="20"/>
      <c r="L19" s="20"/>
      <c r="M19" s="20"/>
      <c r="N19" s="24" t="str">
        <f>VLOOKUP(A19,TestInfo!A:I,9,FALSE)</f>
        <v>5 minutes</v>
      </c>
      <c r="O19" s="24" t="str">
        <f>VLOOKUP(A19,TestInfo!A:J,10,FALSE)</f>
        <v>56 °C</v>
      </c>
      <c r="P19" s="24" t="str">
        <f>VLOOKUP(A19,TestInfo!A:K,11,FALSE)</f>
        <v>Charm EZ, Charm EZ Lite, Charm Field Incubator, ROSA Incubators</v>
      </c>
      <c r="Q19" s="24">
        <f>VLOOKUP(A19,TestInfo!A:L,12,FALSE)</f>
        <v>0</v>
      </c>
      <c r="R19" s="24" t="str">
        <f>VLOOKUP(A19,TestInfo!A:M,13,FALSE)</f>
        <v>Europe</v>
      </c>
      <c r="S19" s="24"/>
    </row>
    <row r="20" spans="1:19" ht="50" customHeight="1">
      <c r="A20" s="25" t="s">
        <v>52</v>
      </c>
      <c r="B20" s="20" t="str">
        <f>VLOOKUP(A20,TestInfo!A:H,2,FALSE)</f>
        <v>Charm QUAD2 Test</v>
      </c>
      <c r="C20" s="25" t="str">
        <f>VLOOKUP(A20,TestInfo!A:H,3,FALSE)</f>
        <v>Cow, Goat, Sheep</v>
      </c>
      <c r="D20" s="25" t="str">
        <f>VLOOKUP(A20,TestInfo!A:H,4,FALSE)</f>
        <v>MRL/Global</v>
      </c>
      <c r="E20" s="25" t="str">
        <f>VLOOKUP(A20,TestInfo!A:H,5,FALSE)</f>
        <v>Macrolides</v>
      </c>
      <c r="F20" s="20">
        <f>VLOOKUP(A20,TestInfo!A:H,6,FALSE)</f>
        <v>0</v>
      </c>
      <c r="G20" s="20" t="str">
        <f>VLOOKUP(A20,TestInfo!A:H,7,FALSE)</f>
        <v>https://drive.google.com/thumbnail?id=1fz9w9tfdvCkt0Zb8rHvXC79JhvOZ6Hqv</v>
      </c>
      <c r="H20" s="20" t="str">
        <f>VLOOKUP(A20,TestInfo!A:H,8,FALSE)</f>
        <v>http://www.charm.com/products/test-and-kits/antibiotic-tests/rosa-lateral-flow/quad2-charm-quad2-test/</v>
      </c>
      <c r="I20" s="25" t="str">
        <f>VLOOKUP(A20,TestDrugs!A:C,2,FALSE)</f>
        <v>Erythromycin, Lincomycin, Pirlimycin, Spiramycin, Tilmicosin, Tylosin</v>
      </c>
      <c r="J20" s="25" t="str">
        <f>VLOOKUP(A20,TestDrugs!A:C,3,FALSE)</f>
        <v>Erythro, Erythromast 36, Gallimycin, , Pirsue Sterile Solution, , Micotil, Pulmotil, Tilmovet, BiloVet, Component T- with Tylan, Component E with Tylan, Component TE- with Tylan, Gilt Edge Tylan Mix, Good-Life Tylan 10 Premix, Hy-Con Tylan Premix, McNess Custom Premix L200, Purina Hog Plus II, Quali-Tech Tylan-10 Premix, Seeco Inc T-10 Premix, Tylan, Tylosin, Tylovet, Waynextra For Swine</v>
      </c>
      <c r="K20" s="20"/>
      <c r="L20" s="20"/>
      <c r="M20" s="20"/>
      <c r="N20" s="24" t="str">
        <f>VLOOKUP(A20,TestInfo!A:I,9,FALSE)</f>
        <v>5 minutes</v>
      </c>
      <c r="O20" s="24" t="str">
        <f>VLOOKUP(A20,TestInfo!A:J,10,FALSE)</f>
        <v>56 °C</v>
      </c>
      <c r="P20" s="24" t="str">
        <f>VLOOKUP(A20,TestInfo!A:K,11,FALSE)</f>
        <v>Charm EZ, Charm EZ Lite, Charm Field Incubator, ROSA Incubators</v>
      </c>
      <c r="Q20" s="24" t="str">
        <f>VLOOKUP(A20,TestInfo!A:L,12,FALSE)</f>
        <v>ILVO (Belgium)</v>
      </c>
      <c r="R20" s="24" t="str">
        <f>VLOOKUP(A20,TestInfo!A:M,13,FALSE)</f>
        <v>Europe</v>
      </c>
      <c r="S20" s="24"/>
    </row>
    <row r="21" spans="1:19" ht="50" customHeight="1">
      <c r="A21" s="25" t="s">
        <v>133</v>
      </c>
      <c r="B21" s="20" t="str">
        <f>VLOOKUP(A21,TestInfo!A:H,2,FALSE)</f>
        <v>Charm QUAD3 Test</v>
      </c>
      <c r="C21" s="25" t="str">
        <f>VLOOKUP(A21,TestInfo!A:H,3,FALSE)</f>
        <v>Cow</v>
      </c>
      <c r="D21" s="25" t="str">
        <f>VLOOKUP(A21,TestInfo!A:H,4,FALSE)</f>
        <v>MRL/Global</v>
      </c>
      <c r="E21" s="25" t="str">
        <f>VLOOKUP(A21,TestInfo!A:H,5,FALSE)</f>
        <v>Aminoglycosides</v>
      </c>
      <c r="F21" s="20">
        <f>VLOOKUP(A21,TestInfo!A:H,6,FALSE)</f>
        <v>0</v>
      </c>
      <c r="G21" s="20" t="str">
        <f>VLOOKUP(A21,TestInfo!A:H,7,FALSE)</f>
        <v>https://drive.google.com/thumbnail?id=1MnRXPgLPcHS7vTcGwBoYqpDRiKTTgi-r</v>
      </c>
      <c r="H21" s="20" t="str">
        <f>VLOOKUP(A21,TestInfo!A:H,8,FALSE)</f>
        <v>http://www.charm.com/products/test-and-kits/antibiotic-tests/rosa-lateral-flow/quad3-charm-quad3-test/</v>
      </c>
      <c r="I21" s="25" t="str">
        <f>VLOOKUP(A21,TestDrugs!A:C,2,FALSE)</f>
        <v>Dihydrostreptomycin, Kanamycin, Neomycin, Spectinomycin, Streptomycin</v>
      </c>
      <c r="J21" s="25" t="str">
        <f>VLOOKUP(A21,TestDrugs!A:C,3,FALSE)</f>
        <v>Dihydrostreptomycin, Dry-Mast, Pfizer-Strep, Quartermaster Suspension, , Biosol Liquid, Neo 200 Oral Solution, Neo Predef Sterile Ointment, Neo-Oxy, Neo-Sol 50, Neo-Terramycin, NeoMed 325 Soluble Powder, NeoMed Soluble Powder, Neomix 325, Neomix Ag 325, Neomycin, Neomycin Sulfate, Neosol Soluble Powder, Neosol-Oral, Adspec Sterile Solution, Strep Sol, Streptomycin Oral Solution</v>
      </c>
      <c r="K21" s="20"/>
      <c r="L21" s="20"/>
      <c r="M21" s="20"/>
      <c r="N21" s="24" t="str">
        <f>VLOOKUP(A21,TestInfo!A:I,9,FALSE)</f>
        <v>5 minutes</v>
      </c>
      <c r="O21" s="24" t="str">
        <f>VLOOKUP(A21,TestInfo!A:J,10,FALSE)</f>
        <v>56 °C</v>
      </c>
      <c r="P21" s="24" t="str">
        <f>VLOOKUP(A21,TestInfo!A:K,11,FALSE)</f>
        <v>Charm EZ, Charm EZ Lite, Charm Field Incubator, ROSA Incubators</v>
      </c>
      <c r="Q21" s="24">
        <f>VLOOKUP(A21,TestInfo!A:L,12,FALSE)</f>
        <v>0</v>
      </c>
      <c r="R21" s="24" t="str">
        <f>VLOOKUP(A21,TestInfo!A:M,13,FALSE)</f>
        <v>Europe</v>
      </c>
      <c r="S21" s="24"/>
    </row>
    <row r="22" spans="1:19" ht="50" customHeight="1">
      <c r="A22" s="25" t="s">
        <v>150</v>
      </c>
      <c r="B22" s="20" t="str">
        <f>VLOOKUP(A22,TestInfo!A:H,2,FALSE)</f>
        <v>Charm Quinolone Test</v>
      </c>
      <c r="C22" s="25" t="str">
        <f>VLOOKUP(A22,TestInfo!A:H,3,FALSE)</f>
        <v>Cow</v>
      </c>
      <c r="D22" s="25" t="str">
        <f>VLOOKUP(A22,TestInfo!A:H,4,FALSE)</f>
        <v>MRL/Global</v>
      </c>
      <c r="E22" s="25" t="str">
        <f>VLOOKUP(A22,TestInfo!A:H,5,FALSE)</f>
        <v>Quinolones</v>
      </c>
      <c r="F22" s="20">
        <f>VLOOKUP(A22,TestInfo!A:H,6,FALSE)</f>
        <v>0</v>
      </c>
      <c r="G22" s="20" t="str">
        <f>VLOOKUP(A22,TestInfo!A:H,7,FALSE)</f>
        <v>https://drive.google.com/thumbnail?id=1LhsyDzBG86ynuUjjSTEs_GKd9i61uQwU</v>
      </c>
      <c r="H22" s="20" t="str">
        <f>VLOOKUP(A22,TestInfo!A:H,8,FALSE)</f>
        <v>http://www.charm.com/products/test-and-kits/antibiotic-tests/rosa-lateral-flow/quin-charm-quinolone-test/</v>
      </c>
      <c r="I22" s="25" t="str">
        <f>VLOOKUP(A22,TestDrugs!A:C,2,FALSE)</f>
        <v>Ciprofloxacin, Danofloxacin, Difloxacin, Enrofloxacin , Flumequin, Lomefloxacin, Marbofloxacin, Naladixic Acid, Norofloxacin, Ofloxacin, Sarafloxacin, Oxolinic Acid</v>
      </c>
      <c r="J22" s="25" t="str">
        <f>VLOOKUP(A22,TestDrugs!A:C,3,FALSE)</f>
        <v xml:space="preserve">, Advocin Sterile Injectable Solution, , Baytril 100, Enroflox 100, , , , , , , , </v>
      </c>
      <c r="K22" s="20"/>
      <c r="L22" s="20"/>
      <c r="M22" s="20"/>
      <c r="N22" s="24" t="str">
        <f>VLOOKUP(A22,TestInfo!A:I,9,FALSE)</f>
        <v>3 minutes</v>
      </c>
      <c r="O22" s="24" t="str">
        <f>VLOOKUP(A22,TestInfo!A:J,10,FALSE)</f>
        <v>56 °C</v>
      </c>
      <c r="P22" s="24" t="str">
        <f>VLOOKUP(A22,TestInfo!A:K,11,FALSE)</f>
        <v>Charm EZ, Charm EZ Lite, ROSA Pearl-X Reader, Charm Field Incubator, ROSA Incubators</v>
      </c>
      <c r="Q22" s="24" t="str">
        <f>VLOOKUP(A22,TestInfo!A:L,12,FALSE)</f>
        <v>EMBRAPA (Brazil)</v>
      </c>
      <c r="R22" s="24" t="str">
        <f>VLOOKUP(A22,TestInfo!A:M,13,FALSE)</f>
        <v>Brazil</v>
      </c>
      <c r="S22" s="24"/>
    </row>
    <row r="23" spans="1:19" ht="50" customHeight="1">
      <c r="A23" s="25" t="s">
        <v>171</v>
      </c>
      <c r="B23" s="20" t="str">
        <f>VLOOKUP(A23,TestInfo!A:H,2,FALSE)</f>
        <v>Charm SL-KIWI Beta-lactam Test</v>
      </c>
      <c r="C23" s="25" t="str">
        <f>VLOOKUP(A23,TestInfo!A:H,3,FALSE)</f>
        <v>Cow</v>
      </c>
      <c r="D23" s="25" t="str">
        <f>VLOOKUP(A23,TestInfo!A:H,4,FALSE)</f>
        <v>MRL/Global</v>
      </c>
      <c r="E23" s="25" t="str">
        <f>VLOOKUP(A23,TestInfo!A:H,5,FALSE)</f>
        <v>Beta-lactams</v>
      </c>
      <c r="F23" s="20">
        <f>VLOOKUP(A23,TestInfo!A:H,6,FALSE)</f>
        <v>0</v>
      </c>
      <c r="G23" s="20" t="str">
        <f>VLOOKUP(A23,TestInfo!A:H,7,FALSE)</f>
        <v>https://drive.google.com/thumbnail?id=1-jJf90FQn5WXiuo3RDNhumSEHAkQcnCS</v>
      </c>
      <c r="H23" s="20" t="str">
        <f>VLOOKUP(A23,TestInfo!A:H,8,FALSE)</f>
        <v>http://www.charm.com/products/test-and-kits/antibiotic-tests/rosa-lateral-flow/sl-kiwi-charm-sl-kiwi-beta-lactam-test/</v>
      </c>
      <c r="I23" s="25" t="str">
        <f>VLOOKUP(A23,TestDrugs!A:C,2,FALSE)</f>
        <v>Cefacetrile, Cefalexin, Cefalonium, Cefazolin, Cefoperazone, Cefquinome, Cefuroxime, Cloxacillin, Dicloxacillin, Oxacillin, Amoxicillin, Ampicillin, Ceftiofur, Cephapirin, Penicillin G</v>
      </c>
      <c r="J23" s="25" t="str">
        <f>VLOOKUP(A23,TestDrugs!A:C,3,FALSE)</f>
        <v>, , , , , , , Boviclox, Dariclox, Dry-Clox, Orbenin DC, , , 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K23" s="20"/>
      <c r="L23" s="20"/>
      <c r="M23" s="20"/>
      <c r="N23" s="24" t="str">
        <f>VLOOKUP(A23,TestInfo!A:I,9,FALSE)</f>
        <v>8 minutes</v>
      </c>
      <c r="O23" s="24" t="str">
        <f>VLOOKUP(A23,TestInfo!A:J,10,FALSE)</f>
        <v>56 °C</v>
      </c>
      <c r="P23" s="24" t="str">
        <f>VLOOKUP(A23,TestInfo!A:K,11,FALSE)</f>
        <v>Charm EZ, Charm EZ Lite, ROSA Pearl-X Reader, Charm Field Incubator, ROSA Incubators</v>
      </c>
      <c r="Q23" s="24" t="str">
        <f>VLOOKUP(A23,TestInfo!A:L,12,FALSE)</f>
        <v>NZFSA (New Zealand)</v>
      </c>
      <c r="R23" s="24" t="str">
        <f>VLOOKUP(A23,TestInfo!A:M,13,FALSE)</f>
        <v xml:space="preserve">New Zealand </v>
      </c>
      <c r="S23" s="24"/>
    </row>
    <row r="24" spans="1:19" ht="50" customHeight="1">
      <c r="A24" s="25" t="s">
        <v>217</v>
      </c>
      <c r="B24" s="20" t="str">
        <f>VLOOKUP(A24,TestInfo!A:H,2,FALSE)</f>
        <v>Charm 3 SL3 Beta-lactam Test</v>
      </c>
      <c r="C24" s="25" t="str">
        <f>VLOOKUP(A24,TestInfo!A:H,3,FALSE)</f>
        <v>Cow</v>
      </c>
      <c r="D24" s="25" t="str">
        <f>VLOOKUP(A24,TestInfo!A:H,4,FALSE)</f>
        <v>US</v>
      </c>
      <c r="E24" s="25" t="str">
        <f>VLOOKUP(A24,TestInfo!A:H,5,FALSE)</f>
        <v>Beta-lactams</v>
      </c>
      <c r="F24" s="20">
        <f>VLOOKUP(A24,TestInfo!A:H,6,FALSE)</f>
        <v>0</v>
      </c>
      <c r="G24" s="20" t="str">
        <f>VLOOKUP(A24,TestInfo!A:H,7,FALSE)</f>
        <v>https://drive.google.com/thumbnail?id=1iRYhJI4mTQffykoZB95XVwcHeCHo4c99</v>
      </c>
      <c r="H24" s="20" t="str">
        <f>VLOOKUP(A24,TestInfo!A:H,8,FALSE)</f>
        <v>http://www.charm.com/products/test-and-kits/antibiotic-tests/rosa-lateral-flow/charm-3-sl3-charm-3-sl3-beta-lactam-test/</v>
      </c>
      <c r="I24" s="25" t="str">
        <f>VLOOKUP(A24,TestDrugs!A:C,2,FALSE)</f>
        <v>Amoxicillin, Ampicillin, Ceftiofur, Cephapirin, Cloxacillin, Penicillin G</v>
      </c>
      <c r="J24" s="25" t="str">
        <f>VLOOKUP(A24,TestDrugs!A:C,3,FALSE)</f>
        <v>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Boviclox, Dariclox, Dry-Clox, Orbenin DC,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K24" s="20"/>
      <c r="L24" s="20"/>
      <c r="M24" s="20"/>
      <c r="N24" s="24" t="str">
        <f>VLOOKUP(A24,TestInfo!A:I,9,FALSE)</f>
        <v>3 minutes</v>
      </c>
      <c r="O24" s="24" t="str">
        <f>VLOOKUP(A24,TestInfo!A:J,10,FALSE)</f>
        <v>56 °C</v>
      </c>
      <c r="P24" s="24" t="str">
        <f>VLOOKUP(A24,TestInfo!A:K,11,FALSE)</f>
        <v>Charm EZ, Charm EZ Lite, ROSA Pearl-X Reader, Charm Field Incubator, ROSA Incubators</v>
      </c>
      <c r="Q24" s="24" t="str">
        <f>VLOOKUP(A24,TestInfo!A:L,12,FALSE)</f>
        <v xml:space="preserve">US FDA/NCIMS </v>
      </c>
      <c r="R24" s="24" t="str">
        <f>VLOOKUP(A24,TestInfo!A:M,13,FALSE)</f>
        <v>US</v>
      </c>
      <c r="S24" s="24"/>
    </row>
    <row r="25" spans="1:19" ht="50" customHeight="1">
      <c r="A25" s="25" t="s">
        <v>146</v>
      </c>
      <c r="B25" s="20" t="str">
        <f>VLOOKUP(A25,TestInfo!A:H,2,FALSE)</f>
        <v>Charm SL Aflatoxin M1 Test</v>
      </c>
      <c r="C25" s="25" t="str">
        <f>VLOOKUP(A25,TestInfo!A:H,3,FALSE)</f>
        <v>Cow</v>
      </c>
      <c r="D25" s="25" t="str">
        <f>VLOOKUP(A25,TestInfo!A:H,4,FALSE)</f>
        <v>US, MRL/Global</v>
      </c>
      <c r="E25" s="25" t="str">
        <f>VLOOKUP(A25,TestInfo!A:H,5,FALSE)</f>
        <v>Aflatoxin M1</v>
      </c>
      <c r="F25" s="20">
        <f>VLOOKUP(A25,TestInfo!A:H,6,FALSE)</f>
        <v>0</v>
      </c>
      <c r="G25" s="20" t="str">
        <f>VLOOKUP(A25,TestInfo!A:H,7,FALSE)</f>
        <v>https://drive.google.com/thumbnail?id=1OsEgX2RbUAMXhfUsAj6miH1XXYkh37Ba</v>
      </c>
      <c r="H25" s="20" t="str">
        <f>VLOOKUP(A25,TestInfo!A:H,8,FALSE)</f>
        <v>http://www.charm.com/products/test-and-kits/antibiotic-tests/rosa-lateral-flow/slafm-charm-sl-aflatoxin-m1-test/</v>
      </c>
      <c r="I25" s="25" t="str">
        <f>VLOOKUP(A25,TestDrugs!A:C,2,FALSE)</f>
        <v>Aflatoxin M1</v>
      </c>
      <c r="J25" s="25">
        <f>VLOOKUP(A25,TestDrugs!A:C,3,FALSE)</f>
        <v>0</v>
      </c>
      <c r="K25" s="20"/>
      <c r="L25" s="20"/>
      <c r="M25" s="20"/>
      <c r="N25" s="24" t="str">
        <f>VLOOKUP(A25,TestInfo!A:I,9,FALSE)</f>
        <v>3 minutes</v>
      </c>
      <c r="O25" s="24" t="str">
        <f>VLOOKUP(A25,TestInfo!A:J,10,FALSE)</f>
        <v>56 °C</v>
      </c>
      <c r="P25" s="24" t="str">
        <f>VLOOKUP(A25,TestInfo!A:K,11,FALSE)</f>
        <v>Charm EZ, Charm EZ Lite, ROSA Pearl-X Reader, Charm Field Incubator, ROSA Incubators</v>
      </c>
      <c r="Q25" s="24">
        <f>VLOOKUP(A25,TestInfo!A:L,12,FALSE)</f>
        <v>0</v>
      </c>
      <c r="R25" s="24" t="str">
        <f>VLOOKUP(A25,TestInfo!A:M,13,FALSE)</f>
        <v>US</v>
      </c>
      <c r="S25" s="24"/>
    </row>
    <row r="26" spans="1:19" ht="50" customHeight="1">
      <c r="A26" s="25" t="s">
        <v>29</v>
      </c>
      <c r="B26" s="20" t="str">
        <f>VLOOKUP(A26,TestInfo!A:H,2,FALSE)</f>
        <v>Charm SL Aflatoxin M1 Quantitative Test</v>
      </c>
      <c r="C26" s="25" t="str">
        <f>VLOOKUP(A26,TestInfo!A:H,3,FALSE)</f>
        <v>Cow</v>
      </c>
      <c r="D26" s="25" t="str">
        <f>VLOOKUP(A26,TestInfo!A:H,4,FALSE)</f>
        <v>US, MRL/Global</v>
      </c>
      <c r="E26" s="25" t="str">
        <f>VLOOKUP(A26,TestInfo!A:H,5,FALSE)</f>
        <v>Aflatoxin M1</v>
      </c>
      <c r="F26" s="20">
        <f>VLOOKUP(A26,TestInfo!A:H,6,FALSE)</f>
        <v>0</v>
      </c>
      <c r="G26" s="20" t="str">
        <f>VLOOKUP(A26,TestInfo!A:H,7,FALSE)</f>
        <v>https://drive.google.com/thumbnail?id=1s5FM_qplL1JyAZzM8IUF4gLCn1OD5Rkh</v>
      </c>
      <c r="H26" s="20" t="str">
        <f>VLOOKUP(A26,TestInfo!A:H,8,FALSE)</f>
        <v>http://www.charm.com/products/test-and-kits/antibiotic-tests/rosa-lateral-flow/slafmq-charm-sl-aflatoxin-m1-quantitative-test/</v>
      </c>
      <c r="I26" s="25" t="str">
        <f>VLOOKUP(A26,TestDrugs!A:C,2,FALSE)</f>
        <v>Aflatoxin M1</v>
      </c>
      <c r="J26" s="25">
        <f>VLOOKUP(A26,TestDrugs!A:C,3,FALSE)</f>
        <v>0</v>
      </c>
      <c r="K26" s="20"/>
      <c r="L26" s="20"/>
      <c r="M26" s="20"/>
      <c r="N26" s="24" t="str">
        <f>VLOOKUP(A26,TestInfo!A:I,9,FALSE)</f>
        <v>8 minutes</v>
      </c>
      <c r="O26" s="24" t="str">
        <f>VLOOKUP(A26,TestInfo!A:J,10,FALSE)</f>
        <v>45 °C</v>
      </c>
      <c r="P26" s="24" t="str">
        <f>VLOOKUP(A26,TestInfo!A:K,11,FALSE)</f>
        <v>Charm EZ, Charm EZ Lite, ROSA Pearl-X Reader, Charm Field Incubator, ROSA Incubators</v>
      </c>
      <c r="Q26" s="24">
        <f>VLOOKUP(A26,TestInfo!A:L,12,FALSE)</f>
        <v>0</v>
      </c>
      <c r="R26" s="24" t="str">
        <f>VLOOKUP(A26,TestInfo!A:M,13,FALSE)</f>
        <v>US, CODEX</v>
      </c>
      <c r="S26" s="24"/>
    </row>
    <row r="27" spans="1:19" ht="50" customHeight="1">
      <c r="A27" s="25" t="s">
        <v>3</v>
      </c>
      <c r="B27" s="20" t="str">
        <f>VLOOKUP(A27,TestInfo!A:H,2,FALSE)</f>
        <v>Charm SL Beta-lactam Test</v>
      </c>
      <c r="C27" s="25" t="str">
        <f>VLOOKUP(A27,TestInfo!A:H,3,FALSE)</f>
        <v>Cow, Goat, Sheep, Water Buffalo</v>
      </c>
      <c r="D27" s="25" t="str">
        <f>VLOOKUP(A27,TestInfo!A:H,4,FALSE)</f>
        <v>US</v>
      </c>
      <c r="E27" s="25" t="str">
        <f>VLOOKUP(A27,TestInfo!A:H,5,FALSE)</f>
        <v>Beta-lactams</v>
      </c>
      <c r="F27" s="20">
        <f>VLOOKUP(A27,TestInfo!A:H,6,FALSE)</f>
        <v>0</v>
      </c>
      <c r="G27" s="20" t="str">
        <f>VLOOKUP(A27,TestInfo!A:H,7,FALSE)</f>
        <v>https://drive.google.com/thumbnail?id=1o-GUd-HXC08Su-EYr1KsJRTBpnCfc_4g</v>
      </c>
      <c r="H27" s="20" t="str">
        <f>VLOOKUP(A27,TestInfo!A:H,8,FALSE)</f>
        <v>http://www.charm.com/products/test-and-kits/antibiotic-tests/rosa-lateral-flow/slbl-charm-sl-beta-lactam-test/</v>
      </c>
      <c r="I27" s="25" t="str">
        <f>VLOOKUP(A27,TestDrugs!A:C,2,FALSE)</f>
        <v>Amoxicillin, Ampicillin, Ceftiofur, Cephapirin, Penicillin G</v>
      </c>
      <c r="J27" s="25" t="str">
        <f>VLOOKUP(A27,TestDrugs!A:C,3,FALSE)</f>
        <v>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K27" s="20"/>
      <c r="L27" s="20"/>
      <c r="M27" s="20"/>
      <c r="N27" s="24" t="str">
        <f>VLOOKUP(A27,TestInfo!A:I,9,FALSE)</f>
        <v>8 minutes</v>
      </c>
      <c r="O27" s="24" t="str">
        <f>VLOOKUP(A27,TestInfo!A:J,10,FALSE)</f>
        <v>56 °C</v>
      </c>
      <c r="P27" s="24" t="str">
        <f>VLOOKUP(A27,TestInfo!A:K,11,FALSE)</f>
        <v>Charm EZ, Charm EZ Lite, ROSA Pearl-X Reader, Charm Field Incubator, ROSA Incubators</v>
      </c>
      <c r="Q27" s="24" t="str">
        <f>VLOOKUP(A27,TestInfo!A:L,12,FALSE)</f>
        <v>US FDA/NCIMS</v>
      </c>
      <c r="R27" s="24" t="str">
        <f>VLOOKUP(A27,TestInfo!A:M,13,FALSE)</f>
        <v>US</v>
      </c>
      <c r="S27" s="24"/>
    </row>
    <row r="28" spans="1:19" ht="50" customHeight="1">
      <c r="A28" s="25" t="s">
        <v>151</v>
      </c>
      <c r="B28" s="20" t="str">
        <f>VLOOKUP(A28,TestInfo!A:H,2,FALSE)</f>
        <v>Charm Streptomycin Test</v>
      </c>
      <c r="C28" s="25" t="str">
        <f>VLOOKUP(A28,TestInfo!A:H,3,FALSE)</f>
        <v>Cow</v>
      </c>
      <c r="D28" s="25" t="str">
        <f>VLOOKUP(A28,TestInfo!A:H,4,FALSE)</f>
        <v>US, MRL/Global</v>
      </c>
      <c r="E28" s="25" t="str">
        <f>VLOOKUP(A28,TestInfo!A:H,5,FALSE)</f>
        <v>Streptomycins</v>
      </c>
      <c r="F28" s="20">
        <f>VLOOKUP(A28,TestInfo!A:H,6,FALSE)</f>
        <v>0</v>
      </c>
      <c r="G28" s="20" t="str">
        <f>VLOOKUP(A28,TestInfo!A:H,7,FALSE)</f>
        <v>https://drive.google.com/thumbnail?id=1WBPZ-D9f6N94Xpo9Pi5Q0oLgUxKu1gQu</v>
      </c>
      <c r="H28" s="20" t="str">
        <f>VLOOKUP(A28,TestInfo!A:H,8,FALSE)</f>
        <v>http://www.charm.com/products/test-and-kits/antibiotic-tests/rosa-lateral-flow/strep-charm-streptomycin-test/</v>
      </c>
      <c r="I28" s="25" t="str">
        <f>VLOOKUP(A28,TestDrugs!A:C,2,FALSE)</f>
        <v>Dihydrostreptomycin, Streptomycin</v>
      </c>
      <c r="J28" s="25" t="str">
        <f>VLOOKUP(A28,TestDrugs!A:C,3,FALSE)</f>
        <v>Dihydrostreptomycin, Dry-Mast, Pfizer-Strep, Quartermaster Suspension, Strep Sol, Streptomycin Oral Solution</v>
      </c>
      <c r="K28" s="20"/>
      <c r="L28" s="20"/>
      <c r="M28" s="20"/>
      <c r="N28" s="24" t="str">
        <f>VLOOKUP(A28,TestInfo!A:I,9,FALSE)</f>
        <v>8 minutes</v>
      </c>
      <c r="O28" s="24" t="str">
        <f>VLOOKUP(A28,TestInfo!A:J,10,FALSE)</f>
        <v>56 °C</v>
      </c>
      <c r="P28" s="24" t="str">
        <f>VLOOKUP(A28,TestInfo!A:K,11,FALSE)</f>
        <v>Charm EZ, Charm EZ Lite, ROSA Pearl-X Reader, Charm Field Incubator, ROSA Incubators</v>
      </c>
      <c r="Q28" s="24" t="str">
        <f>VLOOKUP(A28,TestInfo!A:L,12,FALSE)</f>
        <v>SCSM (Belarus), PIWET (Poland), GOST (Russian Federation)</v>
      </c>
      <c r="R28" s="24" t="str">
        <f>VLOOKUP(A28,TestInfo!A:M,13,FALSE)</f>
        <v>Belarus, Poland, Europe</v>
      </c>
      <c r="S28" s="24"/>
    </row>
    <row r="29" spans="1:19" ht="50" customHeight="1">
      <c r="A29" s="25" t="s">
        <v>55</v>
      </c>
      <c r="B29" s="20" t="str">
        <f>VLOOKUP(A29,TestInfo!A:H,2,FALSE)</f>
        <v>Charm ROSA SULF Test</v>
      </c>
      <c r="C29" s="25" t="str">
        <f>VLOOKUP(A29,TestInfo!A:H,3,FALSE)</f>
        <v>Cow</v>
      </c>
      <c r="D29" s="25" t="str">
        <f>VLOOKUP(A29,TestInfo!A:H,4,FALSE)</f>
        <v>US, MRL/Global</v>
      </c>
      <c r="E29" s="25" t="str">
        <f>VLOOKUP(A29,TestInfo!A:H,5,FALSE)</f>
        <v>Sulfonamides</v>
      </c>
      <c r="F29" s="20">
        <f>VLOOKUP(A29,TestInfo!A:H,6,FALSE)</f>
        <v>0</v>
      </c>
      <c r="G29" s="20" t="str">
        <f>VLOOKUP(A29,TestInfo!A:H,7,FALSE)</f>
        <v>https://drive.google.com/thumbnail?id=1nii1lYDWELj2PMWLIvXLvidLjL3HUBr7</v>
      </c>
      <c r="H29" s="20" t="str">
        <f>VLOOKUP(A29,TestInfo!A:H,8,FALSE)</f>
        <v>http://www.charm.com/products/test-and-kits/antibiotic-tests/rosa-lateral-flow/sulf-charm-rosa-sulf-test/</v>
      </c>
      <c r="I29" s="25" t="str">
        <f>VLOOKUP(A29,TestDrugs!A:C,2,FALSE)</f>
        <v>Sulfadimethoxine, Sulfamethazine</v>
      </c>
      <c r="J29" s="25" t="str">
        <f>VLOOKUP(A29,TestDrugs!A:C,3,FALSE)</f>
        <v>Agribon, Albon, Di-Methox, SDM Sulfadimethoxine Concentrated Solution 12.5%, Sulfadimethoxine, SulfaMed, Sulforal, Aureo S 700, Aureomix 700, Calfspan, HavaSpan Prolonged Release Bolus, Pennchlor S, Purina Sulfa, SMZ-Med, Sulfamethazine Spanbolet II, Sulfamethazine Sustained Release Bolus, SulfaSpan Prolonged Release Bolus , Sulka-S Bolus, Sulmet, Sustain III, Veta-Meth</v>
      </c>
      <c r="K29" s="20"/>
      <c r="L29" s="20"/>
      <c r="M29" s="20"/>
      <c r="N29" s="24" t="str">
        <f>VLOOKUP(A29,TestInfo!A:I,9,FALSE)</f>
        <v>8 minutes</v>
      </c>
      <c r="O29" s="24" t="str">
        <f>VLOOKUP(A29,TestInfo!A:J,10,FALSE)</f>
        <v>56 °C</v>
      </c>
      <c r="P29" s="24" t="str">
        <f>VLOOKUP(A29,TestInfo!A:K,11,FALSE)</f>
        <v>Charm EZ, Charm EZ Lite, ROSA Pearl-X Reader, Charm Field Incubator, ROSA Incubators</v>
      </c>
      <c r="Q29" s="24" t="str">
        <f>VLOOKUP(A29,TestInfo!A:L,12,FALSE)</f>
        <v xml:space="preserve">EMBRAPA (Brazil), GOST (Russian Federation), US FDA/NCIMS </v>
      </c>
      <c r="R29" s="24" t="str">
        <f>VLOOKUP(A29,TestInfo!A:M,13,FALSE)</f>
        <v>US, South America</v>
      </c>
      <c r="S29" s="24"/>
    </row>
    <row r="30" spans="1:19" ht="50" customHeight="1">
      <c r="A30" s="25" t="s">
        <v>154</v>
      </c>
      <c r="B30" s="20" t="str">
        <f>VLOOKUP(A30,TestInfo!A:H,2,FALSE)</f>
        <v xml:space="preserve">Charm MRL Sulfonamide Test </v>
      </c>
      <c r="C30" s="25" t="str">
        <f>VLOOKUP(A30,TestInfo!A:H,3,FALSE)</f>
        <v>Cow, Goat, Sheep</v>
      </c>
      <c r="D30" s="25" t="str">
        <f>VLOOKUP(A30,TestInfo!A:H,4,FALSE)</f>
        <v>MRL/Global</v>
      </c>
      <c r="E30" s="25" t="str">
        <f>VLOOKUP(A30,TestInfo!A:H,5,FALSE)</f>
        <v>Sulfonamides</v>
      </c>
      <c r="F30" s="20">
        <f>VLOOKUP(A30,TestInfo!A:H,6,FALSE)</f>
        <v>0</v>
      </c>
      <c r="G30" s="20" t="str">
        <f>VLOOKUP(A30,TestInfo!A:H,7,FALSE)</f>
        <v>https://drive.google.com/thumbnail?id=1Nwv8wrO46ojPTA7Cobfo_bWh7JYfQ4O8</v>
      </c>
      <c r="H30" s="20" t="str">
        <f>VLOOKUP(A30,TestInfo!A:H,8,FALSE)</f>
        <v>http://www.charm.com/products/test-and-kits/antibiotic-tests/rosa-lateral-flow/sulf-charm-rosa-sulf-test/</v>
      </c>
      <c r="I30" s="25" t="str">
        <f>VLOOKUP(A30,TestDrugs!A:C,2,FALSE)</f>
        <v>Sulfacetamide, Sulfachlorpyridazine, Sulfadiazine, Sulfadimethoxine, Sulfadoxine, Sulfaethoxypyridazine, Sulfaguanidine, Sulfamerazine, Sulfamethazine, Sulfamethizole, Sulfamethoxazole, Sulfamethoxypyridazine, Sulfapyridine, Sulfaquinoxaline, Sulfathiazole, Sulfisoxazole</v>
      </c>
      <c r="J30" s="25" t="str">
        <f>VLOOKUP(A30,TestDrugs!A:C,3,FALSE)</f>
        <v xml:space="preserve">, Prinzone, Pyradan, Vetisulid, , Agribon, Albon, Di-Methox, SDM Sulfadimethoxine Concentrated Solution 12.5%, Sulfadimethoxine, SulfaMed, Sulforal, , S.E.Z., , , Aureo S 700, Aureomix 700, Calfspan, HavaSpan Prolonged Release Bolus, Pennchlor S, Purina Sulfa, SMZ-Med, Sulfamethazine Spanbolet II, Sulfamethazine Sustained Release Bolus, SulfaSpan Prolonged Release Bolus , Sulka-S Bolus, Sulmet, Sustain III, Veta-Meth, , , , , Liquid Sul-Q-Nox, , </v>
      </c>
      <c r="K30" s="20"/>
      <c r="L30" s="20"/>
      <c r="M30" s="20"/>
      <c r="N30" s="24" t="str">
        <f>VLOOKUP(A30,TestInfo!A:I,9,FALSE)</f>
        <v>8 minutes</v>
      </c>
      <c r="O30" s="24" t="str">
        <f>VLOOKUP(A30,TestInfo!A:J,10,FALSE)</f>
        <v>56 °C</v>
      </c>
      <c r="P30" s="24" t="str">
        <f>VLOOKUP(A30,TestInfo!A:K,11,FALSE)</f>
        <v>Charm EZ, Charm EZ Lite, ROSA Pearl-X Reader, Charm Field Incubator, ROSA Incubators</v>
      </c>
      <c r="Q30" s="24">
        <f>VLOOKUP(A30,TestInfo!A:L,12,FALSE)</f>
        <v>0</v>
      </c>
      <c r="R30" s="24" t="str">
        <f>VLOOKUP(A30,TestInfo!A:M,13,FALSE)</f>
        <v>Canada</v>
      </c>
      <c r="S30" s="24"/>
    </row>
    <row r="31" spans="1:19" ht="50" customHeight="1">
      <c r="A31" s="25" t="s">
        <v>32</v>
      </c>
      <c r="B31" s="20" t="str">
        <f>VLOOKUP(A31,TestInfo!A:H,2,FALSE)</f>
        <v xml:space="preserve">Charm Tetracycline Test </v>
      </c>
      <c r="C31" s="25" t="str">
        <f>VLOOKUP(A31,TestInfo!A:H,3,FALSE)</f>
        <v>Cow</v>
      </c>
      <c r="D31" s="25" t="str">
        <f>VLOOKUP(A31,TestInfo!A:H,4,FALSE)</f>
        <v>MRL/Global</v>
      </c>
      <c r="E31" s="25" t="str">
        <f>VLOOKUP(A31,TestInfo!A:H,5,FALSE)</f>
        <v>Tetracyclines</v>
      </c>
      <c r="F31" s="20">
        <f>VLOOKUP(A31,TestInfo!A:H,6,FALSE)</f>
        <v>0</v>
      </c>
      <c r="G31" s="20" t="str">
        <f>VLOOKUP(A31,TestInfo!A:H,7,FALSE)</f>
        <v>https://drive.google.com/thumbnail?id=1iHVWejJ9ZtU7qJXVvWnd9oTvZ0zBioJJ</v>
      </c>
      <c r="H31" s="20" t="str">
        <f>VLOOKUP(A31,TestInfo!A:H,8,FALSE)</f>
        <v>http://www.charm.com/products/test-and-kits/antibiotic-tests/rosa-lateral-flow/tet-charm-tetracycline-test/</v>
      </c>
      <c r="I31" s="25" t="str">
        <f>VLOOKUP(A31,TestDrugs!A:C,2,FALSE)</f>
        <v>Chlortetracycline, Oxytetracycline, Tetracycline</v>
      </c>
      <c r="J31" s="25" t="str">
        <f>VLOOKUP(A31,TestDrugs!A:C,3,FALSE)</f>
        <v>Aureo S 700, Aureomix, Aureomycin, Chloratet, ChlorMax, Chloromax, Chloronex, Chlortetracycline hydrochloride soluble powder, Chlortetracycline, CLTC, CTC Bisulfate Soluble Powder, Deracin, Fermycin Soluble, Pennchlor, PfiChlor,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K31" s="20"/>
      <c r="L31" s="20"/>
      <c r="M31" s="20"/>
      <c r="N31" s="24" t="str">
        <f>VLOOKUP(A31,TestInfo!A:I,9,FALSE)</f>
        <v>8 minutes</v>
      </c>
      <c r="O31" s="24" t="str">
        <f>VLOOKUP(A31,TestInfo!A:J,10,FALSE)</f>
        <v>56 °C</v>
      </c>
      <c r="P31" s="24" t="str">
        <f>VLOOKUP(A31,TestInfo!A:K,11,FALSE)</f>
        <v>Charm EZ, Charm EZ Lite, ROSA Pearl-X Reader, Charm Field Incubator, ROSA Incubators</v>
      </c>
      <c r="Q31" s="24" t="str">
        <f>VLOOKUP(A31,TestInfo!A:L,12,FALSE)</f>
        <v>NZFSA (New Zealand)</v>
      </c>
      <c r="R31" s="24" t="str">
        <f>VLOOKUP(A31,TestInfo!A:M,13,FALSE)</f>
        <v xml:space="preserve">New Zealand </v>
      </c>
      <c r="S31" s="24"/>
    </row>
    <row r="32" spans="1:19" ht="50" customHeight="1">
      <c r="A32" s="25" t="s">
        <v>33</v>
      </c>
      <c r="B32" s="20" t="str">
        <f>VLOOKUP(A32,TestInfo!A:H,2,FALSE)</f>
        <v>Charm ROSA Tetracycline SL (Dilution Confirmation) Test</v>
      </c>
      <c r="C32" s="25" t="str">
        <f>VLOOKUP(A32,TestInfo!A:H,3,FALSE)</f>
        <v>Cow</v>
      </c>
      <c r="D32" s="25" t="str">
        <f>VLOOKUP(A32,TestInfo!A:H,4,FALSE)</f>
        <v>US</v>
      </c>
      <c r="E32" s="25" t="str">
        <f>VLOOKUP(A32,TestInfo!A:H,5,FALSE)</f>
        <v>Tetracyclines</v>
      </c>
      <c r="F32" s="20">
        <f>VLOOKUP(A32,TestInfo!A:H,6,FALSE)</f>
        <v>0</v>
      </c>
      <c r="G32" s="20" t="str">
        <f>VLOOKUP(A32,TestInfo!A:H,7,FALSE)</f>
        <v>https://drive.google.com/thumbnail?id=1MpeQFCK8a7hjb700UsgpXHIQdnAYp_m-</v>
      </c>
      <c r="H32" s="20" t="str">
        <f>VLOOKUP(A32,TestInfo!A:H,8,FALSE)</f>
        <v>http://www.charm.com/products/test-and-kits/antibiotic-tests/rosa-lateral-flow/tet-sl-charm-rosa-tetracycline-sl-dilution-confirmation-test/</v>
      </c>
      <c r="I32" s="25" t="str">
        <f>VLOOKUP(A32,TestDrugs!A:C,2,FALSE)</f>
        <v>Chlortetracycline, Oxytetracycline, Tetracycline</v>
      </c>
      <c r="J32" s="25" t="str">
        <f>VLOOKUP(A32,TestDrugs!A:C,3,FALSE)</f>
        <v>Aureo S 700, Aureomix, Aureomycin, Chloratet, ChlorMax, Chloromax, Chloronex, Chlortetracycline hydrochloride soluble powder, Chlortetracycline, CLTC, CTC Bisulfate Soluble Powder, Deracin, Fermycin Soluble, Pennchlor, PfiChlor,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K32" s="20"/>
      <c r="L32" s="20"/>
      <c r="M32" s="20"/>
      <c r="N32" s="24" t="str">
        <f>VLOOKUP(A32,TestInfo!A:I,9,FALSE)</f>
        <v>8 minutes</v>
      </c>
      <c r="O32" s="24" t="str">
        <f>VLOOKUP(A32,TestInfo!A:J,10,FALSE)</f>
        <v>56 °C</v>
      </c>
      <c r="P32" s="24" t="str">
        <f>VLOOKUP(A32,TestInfo!A:K,11,FALSE)</f>
        <v>Charm EZ, Charm EZ Lite, ROSA Pearl-X Reader, Charm Field Incubator, ROSA Incubators</v>
      </c>
      <c r="Q32" s="24" t="str">
        <f>VLOOKUP(A32,TestInfo!A:L,12,FALSE)</f>
        <v>US FDA/NCIMS</v>
      </c>
      <c r="R32" s="24" t="str">
        <f>VLOOKUP(A32,TestInfo!A:M,13,FALSE)</f>
        <v>Europe, Canada</v>
      </c>
      <c r="S32" s="24"/>
    </row>
    <row r="33" spans="1:19" ht="50" customHeight="1">
      <c r="A33" s="25" t="s">
        <v>12</v>
      </c>
      <c r="B33" s="20" t="str">
        <f>VLOOKUP(A33,TestInfo!A:H,2,FALSE)</f>
        <v>Charm TRIO Test</v>
      </c>
      <c r="C33" s="25" t="str">
        <f>VLOOKUP(A33,TestInfo!A:H,3,FALSE)</f>
        <v>Cow</v>
      </c>
      <c r="D33" s="25" t="str">
        <f>VLOOKUP(A33,TestInfo!A:H,4,FALSE)</f>
        <v>US, MRL/Global</v>
      </c>
      <c r="E33" s="25" t="str">
        <f>VLOOKUP(A33,TestInfo!A:H,5,FALSE)</f>
        <v>Beta-lactams, Sulfonamides, Tetracyclines</v>
      </c>
      <c r="F33" s="20">
        <f>VLOOKUP(A33,TestInfo!A:H,6,FALSE)</f>
        <v>0</v>
      </c>
      <c r="G33" s="20" t="str">
        <f>VLOOKUP(A33,TestInfo!A:H,7,FALSE)</f>
        <v>https://drive.google.com/thumbnail?id=1SymQOHJCYuuiGDLS2FhGpni7JLuE3LB_</v>
      </c>
      <c r="H33" s="20" t="str">
        <f>VLOOKUP(A33,TestInfo!A:H,8,FALSE)</f>
        <v>http://www.charm.com/products/test-and-kits/antibiotic-tests/rosa-lateral-flow/charm-trio-test/</v>
      </c>
      <c r="I33" s="25" t="str">
        <f>VLOOKUP(A33,TestDrugs!A:C,2,FALSE)</f>
        <v>Amoxicillin, Ampicillin, Ceftiofur, Cephapirin, Chlortetracycline, Cloxacillin, Oxytetracycline, Penicillin G, Sulfadimethoxine, Sulfamethazine, Tetracycline</v>
      </c>
      <c r="J33" s="25" t="str">
        <f>VLOOKUP(A33,TestDrugs!A:C,3,FALSE)</f>
        <v>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Aureo S 700, Aureomix, Aureomycin, Chloratet, ChlorMax, Chloromax, Chloronex, Chlortetracycline hydrochloride soluble powder, Chlortetracycline, CLTC, CTC Bisulfate Soluble Powder, Deracin, Fermycin Soluble, Pennchlor, PfiChlor, Boviclox, Dariclox, Dry-Clox, Orbenin DC,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Agribon, Albon, Di-Methox, SDM Sulfadimethoxine Concentrated Solution 12.5%, Sulfadimethoxine, SulfaMed, Sulforal, Aureo S 700, Aureomix 700, Calfspan, HavaSpan Prolonged Release Bolus, Pennchlor S, Purina Sulfa, SMZ-Med, Sulfamethazine Spanbolet II, Sulfamethazine Sustained Release Bolus, SulfaSpan Prolonged Release Bolus , Sulka-S Bolus, Sulmet, Sustain III, Veta-Meth, Panmycin, Polyotic, Tet-Sol, Tetra-Bac 324, Tetra-Sal, Tetracycline, Tetracycline Hydrochloride Soluble Powder-324, Tetracycline HCL Powder, TetraMed, Tetrasol Soluble Powder, TetraSure 324</v>
      </c>
      <c r="K33" s="20"/>
      <c r="L33" s="20"/>
      <c r="M33" s="20"/>
      <c r="N33" s="24" t="str">
        <f>VLOOKUP(A33,TestInfo!A:I,9,FALSE)</f>
        <v>3 minutes</v>
      </c>
      <c r="O33" s="24" t="str">
        <f>VLOOKUP(A33,TestInfo!A:J,10,FALSE)</f>
        <v>56 °C</v>
      </c>
      <c r="P33" s="24" t="str">
        <f>VLOOKUP(A33,TestInfo!A:K,11,FALSE)</f>
        <v>Charm EZ, Charm EZ Lite, Charm Field Incubator, ROSA Incubators</v>
      </c>
      <c r="Q33" s="24" t="str">
        <f>VLOOKUP(A33,TestInfo!A:L,12,FALSE)</f>
        <v>US FDA/NCIMS</v>
      </c>
      <c r="R33" s="24" t="str">
        <f>VLOOKUP(A33,TestInfo!A:M,13,FALSE)</f>
        <v>US, Europe, Canada, South America</v>
      </c>
      <c r="S33" s="24"/>
    </row>
    <row r="34" spans="1:19" s="6" customFormat="1" ht="47" customHeight="1">
      <c r="A34" s="25" t="s">
        <v>224</v>
      </c>
      <c r="B34" s="20"/>
      <c r="C34" s="25"/>
      <c r="D34" s="25"/>
      <c r="E34" s="25"/>
      <c r="F34" s="20"/>
      <c r="G34" s="20"/>
      <c r="H34" s="20"/>
      <c r="I34" s="25"/>
      <c r="J34" s="25"/>
      <c r="K34" s="20"/>
      <c r="L34" s="25"/>
      <c r="M34" s="25"/>
      <c r="N34" s="24"/>
      <c r="O34" s="24"/>
      <c r="P34" s="24"/>
      <c r="Q34" s="24"/>
      <c r="R34" s="24"/>
      <c r="S34" s="24"/>
    </row>
    <row r="35" spans="1:19" ht="38" customHeight="1">
      <c r="A35" s="25" t="s">
        <v>224</v>
      </c>
      <c r="B35" s="20"/>
      <c r="C35" s="25"/>
      <c r="D35" s="25"/>
      <c r="E35" s="25"/>
      <c r="F35" s="20"/>
      <c r="G35" s="20"/>
      <c r="H35" s="20"/>
      <c r="I35" s="25"/>
      <c r="J35" s="25"/>
      <c r="K35" s="20"/>
      <c r="L35" s="25"/>
      <c r="M35" s="25"/>
      <c r="N35" s="24"/>
      <c r="O35" s="24"/>
      <c r="P35" s="24"/>
      <c r="Q35" s="24"/>
      <c r="R35" s="24"/>
      <c r="S35" s="24"/>
    </row>
    <row r="36" spans="1:19" ht="16">
      <c r="A36" s="25" t="s">
        <v>224</v>
      </c>
      <c r="B36" s="20"/>
      <c r="C36" s="25"/>
      <c r="D36" s="25"/>
      <c r="E36" s="25"/>
      <c r="F36" s="20"/>
      <c r="G36" s="20"/>
      <c r="H36" s="20"/>
      <c r="I36" s="25"/>
      <c r="J36" s="25"/>
      <c r="K36" s="20"/>
      <c r="L36" s="25"/>
      <c r="M36" s="25"/>
      <c r="N36" s="24"/>
      <c r="O36" s="24"/>
      <c r="P36" s="24"/>
      <c r="Q36" s="24"/>
      <c r="R36" s="24"/>
      <c r="S36" s="24"/>
    </row>
    <row r="37" spans="1:19" ht="16">
      <c r="A37" s="25" t="s">
        <v>224</v>
      </c>
      <c r="B37" s="20"/>
      <c r="C37" s="25"/>
      <c r="D37" s="25"/>
      <c r="E37" s="25"/>
      <c r="F37" s="20"/>
      <c r="G37" s="20"/>
      <c r="H37" s="20"/>
      <c r="I37" s="25"/>
      <c r="J37" s="25"/>
      <c r="K37" s="20"/>
      <c r="L37" s="25"/>
      <c r="M37" s="25"/>
      <c r="N37" s="24"/>
      <c r="O37" s="24"/>
      <c r="P37" s="24"/>
      <c r="Q37" s="24"/>
      <c r="R37" s="24"/>
      <c r="S37" s="24"/>
    </row>
    <row r="38" spans="1:19" ht="16">
      <c r="A38" s="25" t="s">
        <v>224</v>
      </c>
      <c r="B38" s="20"/>
      <c r="C38" s="25"/>
      <c r="D38" s="25"/>
      <c r="E38" s="25"/>
      <c r="F38" s="20"/>
      <c r="G38" s="20"/>
      <c r="H38" s="20"/>
      <c r="I38" s="25"/>
      <c r="J38" s="25"/>
      <c r="K38" s="20"/>
      <c r="L38" s="25"/>
      <c r="M38" s="25"/>
      <c r="N38" s="24"/>
      <c r="O38" s="24"/>
      <c r="P38" s="24"/>
      <c r="Q38" s="24"/>
      <c r="R38" s="24"/>
      <c r="S38" s="24"/>
    </row>
    <row r="39" spans="1:19" ht="16">
      <c r="A39" s="25" t="s">
        <v>224</v>
      </c>
      <c r="B39" s="20"/>
      <c r="C39" s="25"/>
      <c r="D39" s="25"/>
      <c r="E39" s="25"/>
      <c r="F39" s="20"/>
      <c r="G39" s="20"/>
      <c r="H39" s="20"/>
      <c r="I39" s="25"/>
      <c r="J39" s="25"/>
      <c r="K39" s="20"/>
      <c r="L39" s="25"/>
      <c r="M39" s="25"/>
      <c r="N39" s="24"/>
      <c r="O39" s="24"/>
      <c r="P39" s="24"/>
      <c r="Q39" s="24"/>
      <c r="R39" s="24"/>
      <c r="S39" s="24"/>
    </row>
    <row r="40" spans="1:19" ht="16">
      <c r="A40" s="25" t="s">
        <v>224</v>
      </c>
      <c r="B40" s="20"/>
      <c r="C40" s="25"/>
      <c r="D40" s="25"/>
      <c r="E40" s="25"/>
      <c r="F40" s="20"/>
      <c r="G40" s="20"/>
      <c r="H40" s="20"/>
      <c r="I40" s="25"/>
      <c r="J40" s="25"/>
      <c r="K40" s="20"/>
      <c r="L40" s="25"/>
      <c r="M40" s="25"/>
      <c r="N40" s="24"/>
      <c r="O40" s="24"/>
      <c r="P40" s="24"/>
      <c r="Q40" s="24"/>
      <c r="R40" s="24"/>
      <c r="S40" s="24"/>
    </row>
    <row r="41" spans="1:19" ht="16">
      <c r="A41" s="25" t="s">
        <v>224</v>
      </c>
      <c r="B41" s="20"/>
      <c r="C41" s="25"/>
      <c r="D41" s="25"/>
      <c r="E41" s="25"/>
      <c r="F41" s="20"/>
      <c r="G41" s="20"/>
      <c r="H41" s="20"/>
      <c r="I41" s="25"/>
      <c r="J41" s="25"/>
      <c r="K41" s="20"/>
      <c r="L41" s="25"/>
      <c r="M41" s="25"/>
      <c r="N41" s="24"/>
      <c r="O41" s="24"/>
      <c r="P41" s="24"/>
      <c r="Q41" s="24"/>
      <c r="R41" s="24"/>
      <c r="S41" s="24"/>
    </row>
    <row r="42" spans="1:19" ht="16">
      <c r="A42" s="25" t="s">
        <v>224</v>
      </c>
      <c r="B42" s="20"/>
      <c r="C42" s="25"/>
      <c r="D42" s="25"/>
      <c r="E42" s="25"/>
      <c r="F42" s="20"/>
      <c r="G42" s="20"/>
      <c r="H42" s="20"/>
      <c r="I42" s="25"/>
      <c r="J42" s="25"/>
      <c r="K42" s="20"/>
      <c r="L42" s="25"/>
      <c r="M42" s="25"/>
      <c r="N42" s="24"/>
      <c r="O42" s="24"/>
      <c r="P42" s="24"/>
      <c r="Q42" s="24"/>
      <c r="R42" s="24"/>
      <c r="S42" s="24"/>
    </row>
    <row r="43" spans="1:19" ht="16">
      <c r="A43" s="25" t="s">
        <v>224</v>
      </c>
      <c r="B43" s="20"/>
      <c r="C43" s="25"/>
      <c r="D43" s="25"/>
      <c r="E43" s="25"/>
      <c r="F43" s="20"/>
      <c r="G43" s="20"/>
      <c r="H43" s="20"/>
      <c r="I43" s="25"/>
      <c r="J43" s="25"/>
      <c r="K43" s="20"/>
      <c r="L43" s="25"/>
      <c r="M43" s="25"/>
      <c r="N43" s="24"/>
      <c r="O43" s="24"/>
      <c r="P43" s="24"/>
      <c r="Q43" s="24"/>
      <c r="R43" s="24"/>
      <c r="S43" s="24"/>
    </row>
    <row r="44" spans="1:19" ht="16">
      <c r="A44" s="25" t="s">
        <v>224</v>
      </c>
      <c r="B44" s="20"/>
      <c r="C44" s="25"/>
      <c r="D44" s="25"/>
      <c r="E44" s="25"/>
      <c r="F44" s="20"/>
      <c r="G44" s="20"/>
      <c r="H44" s="20"/>
      <c r="I44" s="25"/>
      <c r="J44" s="25"/>
      <c r="K44" s="20"/>
      <c r="L44" s="25"/>
      <c r="M44" s="25"/>
      <c r="N44" s="24"/>
      <c r="O44" s="24"/>
      <c r="P44" s="24"/>
      <c r="Q44" s="24"/>
      <c r="R44" s="24"/>
      <c r="S44" s="24"/>
    </row>
    <row r="45" spans="1:19" ht="16">
      <c r="A45" s="25" t="s">
        <v>224</v>
      </c>
      <c r="B45" s="20"/>
      <c r="C45" s="25"/>
      <c r="D45" s="25"/>
      <c r="E45" s="25"/>
      <c r="F45" s="20"/>
      <c r="G45" s="20"/>
      <c r="H45" s="20"/>
      <c r="I45" s="25"/>
      <c r="J45" s="25"/>
      <c r="K45" s="20"/>
      <c r="L45" s="25"/>
      <c r="M45" s="25"/>
      <c r="N45" s="24"/>
      <c r="O45" s="24"/>
      <c r="P45" s="24"/>
      <c r="Q45" s="24"/>
      <c r="R45" s="24"/>
      <c r="S45" s="24"/>
    </row>
    <row r="46" spans="1:19" ht="16">
      <c r="A46" s="25" t="s">
        <v>224</v>
      </c>
      <c r="B46" s="20"/>
      <c r="C46" s="25"/>
      <c r="D46" s="25"/>
      <c r="E46" s="25"/>
      <c r="F46" s="20"/>
      <c r="G46" s="20"/>
      <c r="H46" s="20"/>
      <c r="I46" s="25"/>
      <c r="J46" s="25"/>
      <c r="K46" s="20"/>
      <c r="L46" s="25"/>
      <c r="M46" s="25"/>
      <c r="N46" s="24"/>
      <c r="O46" s="24"/>
      <c r="P46" s="24"/>
      <c r="Q46" s="24"/>
      <c r="R46" s="24"/>
      <c r="S46" s="24"/>
    </row>
    <row r="47" spans="1:19" ht="16">
      <c r="A47" s="25" t="s">
        <v>224</v>
      </c>
      <c r="B47" s="20"/>
      <c r="C47" s="25"/>
      <c r="D47" s="25"/>
      <c r="E47" s="25"/>
      <c r="F47" s="20"/>
      <c r="G47" s="20"/>
      <c r="H47" s="20"/>
      <c r="I47" s="25"/>
      <c r="J47" s="25"/>
      <c r="K47" s="20"/>
      <c r="L47" s="25"/>
      <c r="M47" s="25"/>
      <c r="N47" s="24"/>
      <c r="O47" s="24"/>
      <c r="P47" s="24"/>
      <c r="Q47" s="24"/>
      <c r="R47" s="24"/>
      <c r="S47" s="24"/>
    </row>
    <row r="48" spans="1:19" ht="16">
      <c r="A48" s="25" t="s">
        <v>224</v>
      </c>
      <c r="B48" s="20"/>
      <c r="C48" s="25"/>
      <c r="D48" s="25"/>
      <c r="E48" s="25"/>
      <c r="F48" s="20"/>
      <c r="G48" s="20"/>
      <c r="H48" s="20"/>
      <c r="I48" s="25"/>
      <c r="J48" s="25"/>
      <c r="K48" s="20"/>
      <c r="L48" s="25"/>
      <c r="M48" s="25"/>
      <c r="N48" s="24"/>
      <c r="O48" s="24"/>
      <c r="P48" s="24"/>
      <c r="Q48" s="24"/>
      <c r="R48" s="24"/>
      <c r="S48" s="24"/>
    </row>
    <row r="49" spans="1:19" ht="16">
      <c r="A49" s="25" t="s">
        <v>224</v>
      </c>
      <c r="B49" s="20"/>
      <c r="C49" s="25"/>
      <c r="D49" s="25"/>
      <c r="E49" s="25"/>
      <c r="F49" s="20"/>
      <c r="G49" s="20"/>
      <c r="H49" s="20"/>
      <c r="I49" s="25"/>
      <c r="J49" s="25"/>
      <c r="K49" s="20"/>
      <c r="L49" s="25"/>
      <c r="M49" s="25"/>
      <c r="N49" s="24"/>
      <c r="O49" s="24"/>
      <c r="P49" s="24"/>
      <c r="Q49" s="24"/>
      <c r="R49" s="24"/>
      <c r="S49" s="24"/>
    </row>
  </sheetData>
  <customSheetViews>
    <customSheetView guid="{21483412-A8AF-444E-A677-2FA27F9C6D8D}" scale="140">
      <selection activeCell="A8" sqref="A8"/>
      <pageMargins left="0.7" right="0.7" top="0.75" bottom="0.75" header="0.3" footer="0.3"/>
    </customSheetView>
  </customSheetViews>
  <conditionalFormatting sqref="A34:A49">
    <cfRule type="containsBlanks" dxfId="90" priority="4">
      <formula>LEN(TRIM(A34))=0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61"/>
  <sheetViews>
    <sheetView topLeftCell="A2" zoomScale="110" zoomScaleNormal="110" workbookViewId="0">
      <selection activeCell="D9" sqref="D9"/>
    </sheetView>
  </sheetViews>
  <sheetFormatPr baseColWidth="10" defaultColWidth="8.83203125" defaultRowHeight="15"/>
  <cols>
    <col min="1" max="1" width="17.6640625" customWidth="1"/>
    <col min="2" max="2" width="34.1640625" customWidth="1"/>
    <col min="3" max="3" width="60" customWidth="1"/>
    <col min="4" max="4" width="17.6640625" customWidth="1"/>
    <col min="5" max="5" width="10" bestFit="1" customWidth="1"/>
    <col min="11" max="12" width="19.5" bestFit="1" customWidth="1"/>
    <col min="13" max="13" width="16.33203125" bestFit="1" customWidth="1"/>
    <col min="14" max="14" width="12" bestFit="1" customWidth="1"/>
    <col min="15" max="15" width="25" customWidth="1"/>
  </cols>
  <sheetData>
    <row r="1" spans="1:48" s="1" customFormat="1">
      <c r="A1" t="s">
        <v>10</v>
      </c>
      <c r="B1" t="s">
        <v>109</v>
      </c>
      <c r="C1" t="s">
        <v>111</v>
      </c>
      <c r="D1" t="s">
        <v>110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48">
      <c r="A2" t="s">
        <v>153</v>
      </c>
      <c r="B2" t="str">
        <f>D2&amp;", "&amp;E2&amp;", "&amp;F2</f>
        <v>Chloramphenicol, Florfenicol, Thiamphenicol</v>
      </c>
      <c r="C2" t="str">
        <f>VLOOKUP(D2,DrugNames!A:B,2,FALSE)&amp;", "&amp;VLOOKUP(E2,DrugNames!A:B,2,FALSE)&amp;", "&amp;VLOOKUP(F2,DrugNames!A:B,2,FALSE)</f>
        <v xml:space="preserve">, Loncor 300, Norfenicol, Nuflor, NuflorGOLD, Resflor Gold, </v>
      </c>
      <c r="D2" t="s">
        <v>168</v>
      </c>
      <c r="E2" t="s">
        <v>169</v>
      </c>
      <c r="F2" t="s">
        <v>170</v>
      </c>
    </row>
    <row r="3" spans="1:48">
      <c r="A3" t="s">
        <v>172</v>
      </c>
      <c r="B3" t="str">
        <f>D3&amp;", "&amp;E3&amp;", "&amp;F3&amp;", "&amp;G3&amp;", "&amp;H3&amp;", "&amp;I3&amp;", "&amp;J3&amp;", "&amp;K3&amp;", "&amp;L3&amp;", "&amp;M3&amp;", "&amp;N3&amp;", "&amp;O3&amp;", "&amp;P3&amp;", "&amp;Q3</f>
        <v>Amoxicillin, Ampicillin, Cefacetrile, Cefalonium, Cefazolin, Cefoperazone, Cefquinome, Cefuroxime, Ceftiofur, Cephapirin, Cloxacillin, Dicloxacillin, Oxacillin, Penicillin G</v>
      </c>
      <c r="C3" t="str">
        <f>VLOOKUP(D3,DrugNames!A:B,2,FALSE)&amp;", "&amp;VLOOKUP(E3,DrugNames!A:B,2,FALSE)&amp;", "&amp;VLOOKUP(F3,DrugNames!A:B,2,FALSE)&amp;", "&amp;VLOOKUP(G3,DrugNames!A:B,2,FALSE)&amp;", "&amp;VLOOKUP(H3,DrugNames!A:B,2,FALSE)&amp;", "&amp;VLOOKUP(I3,DrugNames!A:B,2,FALSE)&amp;", "&amp;VLOOKUP(J3,DrugNames!A:B,2,FALSE)&amp;", "&amp;VLOOKUP(K3,DrugNames!A:B,2,FALSE)&amp;", "&amp;VLOOKUP(L3,DrugNames!A:B,2,FALSE)&amp;", "&amp;VLOOKUP(M3,DrugNames!A:B,2,FALSE)&amp;", "&amp;VLOOKUP(N3,DrugNames!A:B,2,FALSE)&amp;", "&amp;VLOOKUP(O3,DrugNames!A:B,2,FALSE)&amp;", "&amp;VLOOKUP(P3,DrugNames!A:B,2,FALSE)&amp;", "&amp;VLOOKUP(Q3,DrugNames!A:B,2,FALSE)</f>
        <v>Amoxi-Bol, Amoxi-Inject (Cattle), Amoxi-Sol, Ampi-Bol, Ampicillin Trihydrate, Polyflex, Princillin Bolus, Princillin Injection, 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D3" t="s">
        <v>4</v>
      </c>
      <c r="E3" t="s">
        <v>1</v>
      </c>
      <c r="F3" t="s">
        <v>173</v>
      </c>
      <c r="G3" t="s">
        <v>174</v>
      </c>
      <c r="H3" t="s">
        <v>175</v>
      </c>
      <c r="I3" t="s">
        <v>24</v>
      </c>
      <c r="J3" t="s">
        <v>25</v>
      </c>
      <c r="K3" t="s">
        <v>176</v>
      </c>
      <c r="L3" t="s">
        <v>5</v>
      </c>
      <c r="M3" t="s">
        <v>26</v>
      </c>
      <c r="N3" t="s">
        <v>34</v>
      </c>
      <c r="O3" t="s">
        <v>177</v>
      </c>
      <c r="P3" t="s">
        <v>178</v>
      </c>
      <c r="Q3" t="s">
        <v>16</v>
      </c>
    </row>
    <row r="4" spans="1:48" s="33" customFormat="1">
      <c r="A4" t="s">
        <v>147</v>
      </c>
      <c r="B4" t="str">
        <f>D4&amp;""</f>
        <v>Chloramphenicol</v>
      </c>
      <c r="C4">
        <f>VLOOKUP(D4,DrugNames!A:B,2,FALSE)</f>
        <v>0</v>
      </c>
      <c r="D4" t="s">
        <v>168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</row>
    <row r="5" spans="1:48" s="20" customFormat="1">
      <c r="A5" t="s">
        <v>148</v>
      </c>
      <c r="B5" t="str">
        <f>D5</f>
        <v xml:space="preserve">Enrofloxacin </v>
      </c>
      <c r="C5" t="str">
        <f>VLOOKUP(D5,DrugNames!A:B,2,FALSE)</f>
        <v>Baytril 100, Enroflox 100</v>
      </c>
      <c r="D5" t="s">
        <v>228</v>
      </c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48" s="21" customFormat="1" ht="91" customHeight="1">
      <c r="A6" t="s">
        <v>11</v>
      </c>
      <c r="B6" t="str">
        <f>D6&amp;", "&amp;E6&amp;", "&amp;F6&amp;", "&amp;G6&amp;", "&amp;H6&amp;", "&amp;I6</f>
        <v>Flunixin, Amoxicillin, Ampicillin, Ceftiofur, Cephapirin, Penicillin G</v>
      </c>
      <c r="C6" t="str">
        <f>VLOOKUP(D6,DrugNames!A:B,2,FALSE)&amp;", "&amp;VLOOKUP(E6,DrugNames!A:B,2,FALSE)&amp;", "&amp;VLOOKUP(F6,DrugNames!A:B,2,FALSE)&amp;", "&amp;VLOOKUP(G6,DrugNames!A:B,2,FALSE)&amp;", "&amp;VLOOKUP(H6,DrugNames!A:B,2,FALSE)&amp;", "&amp;VLOOKUP(I6,DrugNames!A:B,2,FALSE)</f>
        <v>Banamine, Flu-Nix, Flunazine, Flunixin Injection, Flunixin Meglumine Injection, Hexasol Injection, Prevail, Resflor Gold, VetaMeg, 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D6" t="s">
        <v>40</v>
      </c>
      <c r="E6" t="s">
        <v>4</v>
      </c>
      <c r="F6" t="s">
        <v>1</v>
      </c>
      <c r="G6" t="s">
        <v>5</v>
      </c>
      <c r="H6" t="s">
        <v>26</v>
      </c>
      <c r="I6" t="s">
        <v>16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</row>
    <row r="7" spans="1:48" s="20" customFormat="1" ht="91" customHeight="1">
      <c r="A7" t="s">
        <v>218</v>
      </c>
      <c r="B7" t="str">
        <f>D7</f>
        <v xml:space="preserve">Gentamicin </v>
      </c>
      <c r="C7" t="str">
        <f>VLOOKUP(D7,DrugNames!A:B,2,FALSE)</f>
        <v>Gentocin Pink Eye Spray</v>
      </c>
      <c r="D7" t="s">
        <v>229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8" spans="1:48" s="20" customFormat="1" ht="28" customHeight="1">
      <c r="A8" t="s">
        <v>105</v>
      </c>
      <c r="B8" t="str">
        <f>D8</f>
        <v>Aflatoxin M1</v>
      </c>
      <c r="C8">
        <f>VLOOKUP(D8,DrugNames!A:B,2,FALSE)</f>
        <v>0</v>
      </c>
      <c r="D8" t="s">
        <v>145</v>
      </c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48" s="20" customFormat="1" ht="30" customHeight="1">
      <c r="A9" t="s">
        <v>8</v>
      </c>
      <c r="B9" t="str">
        <f>D9&amp;", "&amp;E9&amp;", "&amp;F9&amp;", "&amp;G9&amp;", "&amp;H9&amp;", "&amp;I9&amp;", "&amp;J9&amp;", "&amp;K9&amp;", "&amp;L9&amp;", "&amp;M9&amp;", "&amp;N9&amp;", "&amp;O9&amp;", "&amp;P9</f>
        <v>Amoxicillin, Ampicillin, Cefacetrile, Cefalexin, Cefalonium, Cefazolin, Cefoperazone, Cefquinome, Ceftiofur, Cephapirin, Cloxacillin, Dicloxacillin, Penicillin G</v>
      </c>
      <c r="C9" t="str">
        <f>VLOOKUP(D9,DrugNames!A:B,2,FALSE)&amp;", "&amp;VLOOKUP(E9,DrugNames!A:B,2,FALSE)&amp;", "&amp;VLOOKUP(F9,DrugNames!A:B,2,FALSE)&amp;", "&amp;VLOOKUP(G9,DrugNames!A:B,2,FALSE)&amp;", "&amp;VLOOKUP(H9,DrugNames!A:B,2,FALSE)&amp;", "&amp;VLOOKUP(I9,DrugNames!A:B,2,FALSE)&amp;", "&amp;VLOOKUP(J9,DrugNames!A:B,2,FALSE)&amp;", "&amp;VLOOKUP(K9,DrugNames!A:B,2,FALSE)&amp;", "&amp;VLOOKUP(L9,DrugNames!A:B,2,FALSE)&amp;", "&amp;VLOOKUP(M9,DrugNames!A:B,2,FALSE)&amp;", "&amp;VLOOKUP(N9,DrugNames!A:B,2,FALSE)&amp;", "&amp;VLOOKUP(O9,DrugNames!A:B,2,FALSE)&amp;", "&amp;VLOOKUP(P9,DrugNames!A:B,2,FALSE)</f>
        <v>Amoxi-Bol, Amoxi-Inject (Cattle), Amoxi-Sol, Ampi-Bol, Ampicillin Trihydrate, Polyflex, Princillin Bolus, Princillin Injection, , , , , , , Ceftiofur for Injection, EXCEDE, Excenel, Naxcel Sterile Powder, SPECTRAMAST DC, SPECTRAMAST LC, Cefa-Dri, Cefa-Lak, Today, Tomorrow, Tomorrow Infusion, Boviclox, Dariclox, Dry-Clox, Orbenin DC,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D9" t="s">
        <v>4</v>
      </c>
      <c r="E9" t="s">
        <v>1</v>
      </c>
      <c r="F9" t="s">
        <v>173</v>
      </c>
      <c r="G9" t="s">
        <v>184</v>
      </c>
      <c r="H9" t="s">
        <v>174</v>
      </c>
      <c r="I9" t="s">
        <v>175</v>
      </c>
      <c r="J9" t="s">
        <v>24</v>
      </c>
      <c r="K9" t="s">
        <v>25</v>
      </c>
      <c r="L9" t="s">
        <v>5</v>
      </c>
      <c r="M9" t="s">
        <v>26</v>
      </c>
      <c r="N9" t="s">
        <v>34</v>
      </c>
      <c r="O9" t="s">
        <v>177</v>
      </c>
      <c r="P9" t="s">
        <v>16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</row>
    <row r="10" spans="1:48" s="20" customFormat="1" ht="30" customHeight="1">
      <c r="A10" t="s">
        <v>134</v>
      </c>
      <c r="B10" t="str">
        <f>D10&amp;", "&amp;E10&amp;", "&amp;F10&amp;", "&amp;G10&amp;", "&amp;H10&amp;", "&amp;I10&amp;", "&amp;J10&amp;", "&amp;K10&amp;", "&amp;L10&amp;", "&amp;M10&amp;", "&amp;N10&amp;", "&amp;O10&amp;", "&amp;P10</f>
        <v>Amoxicillin, Ampicillin, Cefacetrile, Cefalonium, Cefazolin, Cefoperazone, Cefquinome, Ceftiofur, Cephapirin, Cloxacillin, Dicloxacillin, Oxacillin, Penicillin G</v>
      </c>
      <c r="C10" t="str">
        <f>VLOOKUP(D10,DrugNames!A:B,2,FALSE)&amp;", "&amp;VLOOKUP(E10,DrugNames!A:B,2,FALSE)&amp;", "&amp;VLOOKUP(F10,DrugNames!A:B,2,FALSE)&amp;", "&amp;VLOOKUP(G10,DrugNames!A:B,2,FALSE)&amp;", "&amp;VLOOKUP(H10,DrugNames!A:B,2,FALSE)&amp;", "&amp;VLOOKUP(I10,DrugNames!A:B,2,FALSE)&amp;", "&amp;VLOOKUP(J10,DrugNames!A:B,2,FALSE)&amp;", "&amp;VLOOKUP(K10,DrugNames!A:B,2,FALSE)&amp;", "&amp;VLOOKUP(L10,DrugNames!A:B,2,FALSE)&amp;", "&amp;VLOOKUP(M10,DrugNames!A:B,2,FALSE)&amp;", "&amp;VLOOKUP(N10,DrugNames!A:B,2,FALSE)&amp;", "&amp;VLOOKUP(O10,DrugNames!A:B,2,FALSE)&amp;", "&amp;VLOOKUP(P10,DrugNames!A:B,2,FALSE)</f>
        <v>Amoxi-Bol, Amoxi-Inject (Cattle), Amoxi-Sol, Ampi-Bol, Ampicillin Trihydrate, Polyflex, Princillin Bolus, Princillin Injection,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D10" t="s">
        <v>4</v>
      </c>
      <c r="E10" t="s">
        <v>1</v>
      </c>
      <c r="F10" t="s">
        <v>173</v>
      </c>
      <c r="G10" t="s">
        <v>174</v>
      </c>
      <c r="H10" t="s">
        <v>175</v>
      </c>
      <c r="I10" t="s">
        <v>24</v>
      </c>
      <c r="J10" t="s">
        <v>25</v>
      </c>
      <c r="K10" t="s">
        <v>5</v>
      </c>
      <c r="L10" t="s">
        <v>26</v>
      </c>
      <c r="M10" t="s">
        <v>34</v>
      </c>
      <c r="N10" t="s">
        <v>177</v>
      </c>
      <c r="O10" t="s">
        <v>178</v>
      </c>
      <c r="P10" t="s">
        <v>16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</row>
    <row r="11" spans="1:48" s="20" customFormat="1" ht="75" customHeight="1">
      <c r="A11" t="s">
        <v>14</v>
      </c>
      <c r="B11" t="str">
        <f>D11&amp;", "&amp;E11&amp;", "&amp;F11&amp;", "&amp;G11&amp;", "&amp;H11&amp;", "&amp;I11&amp;", "&amp;J11&amp;", "&amp;K11&amp;", "&amp;L11&amp;", "&amp;M11&amp;", "&amp;N11&amp;", "&amp;O11&amp;", "&amp;P11&amp;", "&amp;Q11</f>
        <v>Amoxicillin, Ampicillin, Cefacetrile, Cefalexin, Cefalonium, Cefazolin, Cefoperazone, Cefquinome, Ceftiofur, Cephapirin, Cloxacillin, Dicloxacillin, Oxacillin, Penicillin G</v>
      </c>
      <c r="C11" t="str">
        <f>VLOOKUP(D11,DrugNames!A:B,2,FALSE)&amp;", "&amp;VLOOKUP(E11,DrugNames!A:B,2,FALSE)&amp;", "&amp;VLOOKUP(F11,DrugNames!A:B,2,FALSE)&amp;", "&amp;VLOOKUP(G11,DrugNames!A:B,2,FALSE)&amp;", "&amp;VLOOKUP(H11,DrugNames!A:B,2,FALSE)&amp;", "&amp;VLOOKUP(I11,DrugNames!A:B,2,FALSE)&amp;", "&amp;VLOOKUP(J11,DrugNames!A:B,2,FALSE)&amp;", "&amp;VLOOKUP(K11,DrugNames!A:B,2,FALSE)&amp;", "&amp;VLOOKUP(L11,DrugNames!A:B,2,FALSE)&amp;", "&amp;VLOOKUP(M11,DrugNames!A:B,2,FALSE)&amp;", "&amp;VLOOKUP(N11,DrugNames!A:B,2,FALSE)&amp;", "&amp;VLOOKUP(O11,DrugNames!A:B,2,FALSE)&amp;", "&amp;VLOOKUP(P11,DrugNames!A:B,2,FALSE)&amp;", "&amp;VLOOKUP(Q11,DrugNames!A:B,2,FALSE)</f>
        <v>Amoxi-Bol, Amoxi-Inject (Cattle), Amoxi-Sol, Ampi-Bol, Ampicillin Trihydrate, Polyflex, Princillin Bolus, Princillin Injection, 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D11" t="s">
        <v>4</v>
      </c>
      <c r="E11" t="s">
        <v>1</v>
      </c>
      <c r="F11" t="s">
        <v>173</v>
      </c>
      <c r="G11" t="s">
        <v>184</v>
      </c>
      <c r="H11" t="s">
        <v>174</v>
      </c>
      <c r="I11" t="s">
        <v>175</v>
      </c>
      <c r="J11" t="s">
        <v>24</v>
      </c>
      <c r="K11" t="s">
        <v>25</v>
      </c>
      <c r="L11" t="s">
        <v>5</v>
      </c>
      <c r="M11" t="s">
        <v>26</v>
      </c>
      <c r="N11" t="s">
        <v>34</v>
      </c>
      <c r="O11" t="s">
        <v>177</v>
      </c>
      <c r="P11" t="s">
        <v>178</v>
      </c>
      <c r="Q11" t="s">
        <v>16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</row>
    <row r="12" spans="1:48" s="20" customFormat="1">
      <c r="A12" t="s">
        <v>78</v>
      </c>
      <c r="B12" t="str">
        <f>D12&amp;", "&amp;E12&amp;", "&amp;F12&amp;", "&amp;G12&amp;", "&amp;H12&amp;", "&amp;I12&amp;", "&amp;J12&amp;", "&amp;K12&amp;", "&amp;L12&amp;", "&amp;M12&amp;", "&amp;N12&amp;", "&amp;O12&amp;", "&amp;P12&amp;", "&amp;Q12&amp;", "&amp;R12&amp;", "&amp;S12&amp;", "&amp;T12</f>
        <v>Amoxicillin, Ampicillin, Cefacetrile, Cefalonium, Cefazolin, Cefoperazone, Cefquinome, Ceftiofur, Cephapirin, Cloxacillin, Dicloxacillin, Oxacillin, Penicillin G, Chlortetracycline, Doxycycline, Oxytetracycline, Tetracycline</v>
      </c>
      <c r="C12" t="str">
        <f>VLOOKUP(D12,DrugNames!A:B,2,FALSE)&amp;", "&amp;VLOOKUP(E12,DrugNames!A:B,2,FALSE)&amp;", "&amp;VLOOKUP(F12,DrugNames!A:B,2,FALSE)&amp;", "&amp;VLOOKUP(G12,DrugNames!A:B,2,FALSE)&amp;", "&amp;VLOOKUP(H12,DrugNames!A:B,2,FALSE)&amp;", "&amp;VLOOKUP(I12,DrugNames!A:B,2,FALSE)&amp;", "&amp;VLOOKUP(J12,DrugNames!A:B,2,FALSE)&amp;", "&amp;VLOOKUP(K12,DrugNames!A:B,2,FALSE)&amp;", "&amp;VLOOKUP(L12,DrugNames!A:B,2,FALSE)&amp;", "&amp;VLOOKUP(M12,DrugNames!A:B,2,FALSE)&amp;", "&amp;VLOOKUP(N12,DrugNames!A:B,2,FALSE)&amp;", "&amp;VLOOKUP(O12,DrugNames!A:B,2,FALSE)&amp;", "&amp;VLOOKUP(P12,DrugNames!A:B,2,FALSE)&amp;", "&amp;VLOOKUP(Q12,DrugNames!A:B,2,FALSE)&amp;", "&amp;VLOOKUP(R12,DrugNames!A:B,2,FALSE)&amp;", "&amp;VLOOKUP(S12,DrugNames!A:B,2,FALSE)&amp;", "&amp;VLOOKUP(T12,DrugNames!A:B,2,FALSE)</f>
        <v>Amoxi-Bol, Amoxi-Inject (Cattle), Amoxi-Sol, Ampi-Bol, Ampicillin Trihydrate, Polyflex, Princillin Bolus, Princillin Injection,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Aureo S 700, Aureomix, Aureomycin, Chloratet, ChlorMax, Chloromax, Chloronex, Chlortetracycline hydrochloride soluble powder, Chlortetracycline, CLTC, CTC Bisulfate Soluble Powder, Deracin, Fermycin Soluble, Pennchlor, PfiChlor, 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D12" t="s">
        <v>4</v>
      </c>
      <c r="E12" t="s">
        <v>1</v>
      </c>
      <c r="F12" t="s">
        <v>173</v>
      </c>
      <c r="G12" t="s">
        <v>174</v>
      </c>
      <c r="H12" t="s">
        <v>175</v>
      </c>
      <c r="I12" t="s">
        <v>24</v>
      </c>
      <c r="J12" t="s">
        <v>25</v>
      </c>
      <c r="K12" t="s">
        <v>5</v>
      </c>
      <c r="L12" t="s">
        <v>26</v>
      </c>
      <c r="M12" t="s">
        <v>34</v>
      </c>
      <c r="N12" t="s">
        <v>177</v>
      </c>
      <c r="O12" t="s">
        <v>178</v>
      </c>
      <c r="P12" t="s">
        <v>16</v>
      </c>
      <c r="Q12" t="s">
        <v>30</v>
      </c>
      <c r="R12" t="s">
        <v>189</v>
      </c>
      <c r="S12" t="s">
        <v>47</v>
      </c>
      <c r="T12" t="s">
        <v>68</v>
      </c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 s="20" customFormat="1" ht="88" customHeight="1">
      <c r="A13" t="s">
        <v>9</v>
      </c>
      <c r="B13" t="str">
        <f>D13&amp;", "&amp;E13&amp;", "&amp;F13&amp;", "&amp;G13&amp;", "&amp;H13&amp;", "&amp;I13&amp;", "&amp;J13&amp;", "&amp;K13&amp;", "&amp;L13&amp;", "&amp;M13&amp;", "&amp;N13&amp;", "&amp;O13&amp;", "&amp;P13&amp;", "&amp;Q13&amp;", "&amp;R13&amp;", "&amp;S13</f>
        <v>Amoxicillin, Ampicillin, Cefacetrile, Cefalexin, Cefalonium, Cefazolin, Cefoperazone, Cefquinome, Ceftiofur, Cephapirin, Cloxacillin, Dicloxacillin, Penicillin G, Chlortetracycline, Oxytetracycline, Tetracycline</v>
      </c>
      <c r="C13" t="str">
        <f>VLOOKUP(D13,DrugNames!A:B,2,FALSE)&amp;", "&amp;VLOOKUP(E13,DrugNames!A:B,2,FALSE)&amp;", "&amp;VLOOKUP(F13,DrugNames!A:B,2,FALSE)&amp;", "&amp;VLOOKUP(G13,DrugNames!A:B,2,FALSE)&amp;", "&amp;VLOOKUP(H13,DrugNames!A:B,2,FALSE)&amp;", "&amp;VLOOKUP(I13,DrugNames!A:B,2,FALSE)&amp;", "&amp;VLOOKUP(J13,DrugNames!A:B,2,FALSE)&amp;", "&amp;VLOOKUP(K13,DrugNames!A:B,2,FALSE)&amp;", "&amp;VLOOKUP(L13,DrugNames!A:B,2,FALSE)&amp;", "&amp;VLOOKUP(M13,DrugNames!A:B,2,FALSE)&amp;", "&amp;VLOOKUP(N13,DrugNames!A:B,2,FALSE)&amp;", "&amp;VLOOKUP(O13,DrugNames!A:B,2,FALSE)&amp;", "&amp;VLOOKUP(P13,DrugNames!A:B,2,FALSE)&amp;", "&amp;VLOOKUP(Q13,DrugNames!A:B,2,FALSE)&amp;", "&amp;VLOOKUP(R13,DrugNames!A:B,2,FALSE)&amp;", "&amp;VLOOKUP(S13,DrugNames!A:B,2,FALSE)</f>
        <v>Amoxi-Bol, Amoxi-Inject (Cattle), Amoxi-Sol, Ampi-Bol, Ampicillin Trihydrate, Polyflex, Princillin Bolus, Princillin Injection, , , , , , , Ceftiofur for Injection, EXCEDE, Excenel, Naxcel Sterile Powder, SPECTRAMAST DC, SPECTRAMAST LC, Cefa-Dri, Cefa-Lak, Today, Tomorrow, Tomorrow Infusion, Boviclox, Dariclox, Dry-Clox, Orbenin DC,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Aureo S 700, Aureomix, Aureomycin, Chloratet, ChlorMax, Chloromax, Chloronex, Chlortetracycline hydrochloride soluble powder, Chlortetracycline, CLTC, CTC Bisulfate Soluble Powder, Deracin, Fermycin Soluble, Pennchlor, PfiChlor,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D13" t="s">
        <v>4</v>
      </c>
      <c r="E13" t="s">
        <v>1</v>
      </c>
      <c r="F13" t="s">
        <v>173</v>
      </c>
      <c r="G13" t="s">
        <v>184</v>
      </c>
      <c r="H13" t="s">
        <v>174</v>
      </c>
      <c r="I13" t="s">
        <v>175</v>
      </c>
      <c r="J13" t="s">
        <v>24</v>
      </c>
      <c r="K13" t="s">
        <v>25</v>
      </c>
      <c r="L13" t="s">
        <v>5</v>
      </c>
      <c r="M13" t="s">
        <v>26</v>
      </c>
      <c r="N13" t="s">
        <v>34</v>
      </c>
      <c r="O13" t="s">
        <v>177</v>
      </c>
      <c r="P13" t="s">
        <v>16</v>
      </c>
      <c r="Q13" t="s">
        <v>30</v>
      </c>
      <c r="R13" t="s">
        <v>47</v>
      </c>
      <c r="S13" t="s">
        <v>68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 s="21" customFormat="1">
      <c r="A14" t="s">
        <v>15</v>
      </c>
      <c r="B14" t="str">
        <f>D14&amp;", "&amp;E14&amp;", "&amp;F14&amp;", "&amp;G14&amp;", "&amp;H14&amp;", "&amp;I14&amp;", "&amp;J14&amp;", "&amp;K14&amp;", "&amp;L14&amp;", "&amp;M14&amp;", "&amp;N14&amp;", "&amp;O14&amp;", "&amp;P14&amp;", "&amp;Q14&amp;", "&amp;R14&amp;", "&amp;S14</f>
        <v>Amoxicillin, Ampicillin, Cefacetrile, Cefalonium, Cefazolin, Cefoperazone, Cefquinome, Ceftiofur, Cephapirin, Cloxacillin, Dicloxacillin, Oxacillin, Penicillin G, Chlortetracycline, Oxytetracycline, Tetracycline</v>
      </c>
      <c r="C14" t="str">
        <f>VLOOKUP(D14,DrugNames!A:B,2,FALSE)&amp;", "&amp;VLOOKUP(E14,DrugNames!A:B,2,FALSE)&amp;", "&amp;VLOOKUP(F14,DrugNames!A:B,2,FALSE)&amp;", "&amp;VLOOKUP(G14,DrugNames!A:B,2,FALSE)&amp;", "&amp;VLOOKUP(H14,DrugNames!A:B,2,FALSE)&amp;", "&amp;VLOOKUP(I14,DrugNames!A:B,2,FALSE)&amp;", "&amp;VLOOKUP(J14,DrugNames!A:B,2,FALSE)&amp;", "&amp;VLOOKUP(K14,DrugNames!A:B,2,FALSE)&amp;", "&amp;VLOOKUP(L14,DrugNames!A:B,2,FALSE)&amp;", "&amp;VLOOKUP(M14,DrugNames!A:B,2,FALSE)&amp;", "&amp;VLOOKUP(N14,DrugNames!A:B,2,FALSE)&amp;", "&amp;VLOOKUP(O14,DrugNames!A:B,2,FALSE)&amp;", "&amp;VLOOKUP(P14,DrugNames!A:B,2,FALSE)&amp;", "&amp;VLOOKUP(Q14,DrugNames!A:B,2,FALSE)&amp;", "&amp;VLOOKUP(R14,DrugNames!A:B,2,FALSE)&amp;", "&amp;VLOOKUP(S14,DrugNames!A:B,2,FALSE)</f>
        <v>Amoxi-Bol, Amoxi-Inject (Cattle), Amoxi-Sol, Ampi-Bol, Ampicillin Trihydrate, Polyflex, Princillin Bolus, Princillin Injection, , , , , , Ceftiofur for Injection, EXCEDE, Excenel, Naxcel Sterile Powder, SPECTRAMAST DC, SPECTRAMAST LC,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Aureo S 700, Aureomix, Aureomycin, Chloratet, ChlorMax, Chloromax, Chloronex, Chlortetracycline hydrochloride soluble powder, Chlortetracycline, CLTC, CTC Bisulfate Soluble Powder, Deracin, Fermycin Soluble, Pennchlor, PfiChlor,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D14" t="s">
        <v>4</v>
      </c>
      <c r="E14" t="s">
        <v>1</v>
      </c>
      <c r="F14" t="s">
        <v>173</v>
      </c>
      <c r="G14" t="s">
        <v>174</v>
      </c>
      <c r="H14" t="s">
        <v>175</v>
      </c>
      <c r="I14" t="s">
        <v>24</v>
      </c>
      <c r="J14" t="s">
        <v>25</v>
      </c>
      <c r="K14" t="s">
        <v>5</v>
      </c>
      <c r="L14" t="s">
        <v>26</v>
      </c>
      <c r="M14" t="s">
        <v>34</v>
      </c>
      <c r="N14" t="s">
        <v>177</v>
      </c>
      <c r="O14" t="s">
        <v>178</v>
      </c>
      <c r="P14" t="s">
        <v>16</v>
      </c>
      <c r="Q14" t="s">
        <v>30</v>
      </c>
      <c r="R14" t="s">
        <v>47</v>
      </c>
      <c r="S14" t="s">
        <v>68</v>
      </c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 s="21" customFormat="1">
      <c r="A15" t="s">
        <v>149</v>
      </c>
      <c r="B15" t="str">
        <f>D15&amp;", "&amp;E15&amp;", "&amp;F15</f>
        <v>Dihydrostreptomycin, Neomycin, Streptomycin</v>
      </c>
      <c r="C15" t="str">
        <f>VLOOKUP(D15,DrugNames!A:B,2,FALSE)&amp;", "&amp;VLOOKUP(E15,DrugNames!A:B,2,FALSE)&amp;", "&amp;VLOOKUP(F15,DrugNames!A:B,2,FALSE)</f>
        <v>Dihydrostreptomycin, Dry-Mast, Pfizer-Strep, Quartermaster Suspension, Biosol Liquid, Neo 200 Oral Solution, Neo Predef Sterile Ointment, Neo-Oxy, Neo-Sol 50, Neo-Terramycin, NeoMed 325 Soluble Powder, NeoMed Soluble Powder, Neomix 325, Neomix Ag 325, Neomycin, Neomycin Sulfate, Neosol Soluble Powder, Neosol-Oral, Strep Sol, Streptomycin Oral Solution</v>
      </c>
      <c r="D15" t="s">
        <v>135</v>
      </c>
      <c r="E15" t="s">
        <v>136</v>
      </c>
      <c r="F15" t="s">
        <v>158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s="21" customFormat="1">
      <c r="A16" t="s">
        <v>152</v>
      </c>
      <c r="B16" t="str">
        <f>D16</f>
        <v>Pirlimycin</v>
      </c>
      <c r="C16" t="str">
        <f>VLOOKUP(D16,DrugNames!A:B,2,FALSE)</f>
        <v>Pirsue Sterile Solution</v>
      </c>
      <c r="D16" t="s">
        <v>50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s="21" customFormat="1" ht="38" customHeight="1">
      <c r="A17" t="s">
        <v>23</v>
      </c>
      <c r="B17" t="str">
        <f>D17&amp;", "&amp;E17&amp;", "&amp;F17&amp;", "&amp;G17&amp;", "&amp;H17&amp;", "&amp;I17&amp;", "&amp;J17&amp;", "&amp;K17&amp;", "&amp;L17&amp;", "&amp;M17&amp;", "&amp;N17&amp;", "&amp;O17&amp;", "&amp;P17&amp;", "&amp;Q17&amp;", "&amp;R17&amp;", "&amp;S17&amp;", "&amp;T17&amp;", "&amp;U17&amp;", "&amp;V17</f>
        <v>Amoxicillin, Ampicillin, Cefacetrile, Cefalonium, Cefazolin, Cefoperazone, Cefquinome, Ceftiofur, Cephapirin, Cloxacillin, Dicloxacillin, Penicillin G, Chlortetracycline, Doxycycline, Oxytetracycline, Tetracycline, Chloramphenicol, Dihydrostreptomycin, Streptomycin</v>
      </c>
      <c r="C17" t="str">
        <f>VLOOKUP(D17,DrugNames!A:B,2,FALSE)&amp;", "&amp;VLOOKUP(E17,DrugNames!A:B,2,FALSE)&amp;", "&amp;VLOOKUP(F17,DrugNames!A:B,2,FALSE)&amp;", "&amp;VLOOKUP(G17,DrugNames!A:B,2,FALSE)&amp;", "&amp;VLOOKUP(H17,DrugNames!A:B,2,FALSE)&amp;", "&amp;VLOOKUP(I17,DrugNames!A:B,2,FALSE)&amp;", "&amp;VLOOKUP(J17,DrugNames!A:B,2,FALSE)&amp;", "&amp;VLOOKUP(K17,DrugNames!A:B,2,FALSE)&amp;", "&amp;VLOOKUP(L17,DrugNames!A:B,2,FALSE)&amp;", "&amp;VLOOKUP(M17,DrugNames!A:B,2,FALSE)&amp;", "&amp;VLOOKUP(N17,DrugNames!A:B,2,FALSE)&amp;", "&amp;VLOOKUP(O17,DrugNames!A:B,2,FALSE)&amp;", "&amp;VLOOKUP(P17,DrugNames!A:B,2,FALSE)&amp;", "&amp;VLOOKUP(Q17,DrugNames!A:B,2,FALSE)&amp;", "&amp;VLOOKUP(R17,DrugNames!A:B,2,FALSE)&amp;", "&amp;VLOOKUP(S17,DrugNames!A:B,2,FALSE)&amp;", "&amp;VLOOKUP(T17,DrugNames!A:B,2,FALSE)&amp;", "&amp;VLOOKUP(U17,DrugNames!A:B,2,FALSE)&amp;", "&amp;VLOOKUP(V17,DrugNames!A:B,2,FALSE)</f>
        <v>Amoxi-Bol, Amoxi-Inject (Cattle), Amoxi-Sol, Ampi-Bol, Ampicillin Trihydrate, Polyflex, Princillin Bolus, Princillin Injection, , , , , , Ceftiofur for Injection, EXCEDE, Excenel, Naxcel Sterile Powder, SPECTRAMAST DC, SPECTRAMAST LC, Cefa-Dri, Cefa-Lak, Today, Tomorrow, Tomorrow Infusion, Boviclox, Dariclox, Dry-Clox, Orbenin DC,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Aureo S 700, Aureomix, Aureomycin, Chloratet, ChlorMax, Chloromax, Chloronex, Chlortetracycline hydrochloride soluble powder, Chlortetracycline, CLTC, CTC Bisulfate Soluble Powder, Deracin, Fermycin Soluble, Pennchlor, PfiChlor, 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324, , Dihydrostreptomycin, Dry-Mast, Pfizer-Strep, Quartermaster Suspension, Strep Sol, Streptomycin Oral Solution</v>
      </c>
      <c r="D17" t="s">
        <v>4</v>
      </c>
      <c r="E17" t="s">
        <v>1</v>
      </c>
      <c r="F17" t="s">
        <v>173</v>
      </c>
      <c r="G17" t="s">
        <v>174</v>
      </c>
      <c r="H17" t="s">
        <v>175</v>
      </c>
      <c r="I17" t="s">
        <v>24</v>
      </c>
      <c r="J17" t="s">
        <v>25</v>
      </c>
      <c r="K17" t="s">
        <v>5</v>
      </c>
      <c r="L17" t="s">
        <v>26</v>
      </c>
      <c r="M17" t="s">
        <v>34</v>
      </c>
      <c r="N17" t="s">
        <v>177</v>
      </c>
      <c r="O17" t="s">
        <v>16</v>
      </c>
      <c r="P17" t="s">
        <v>30</v>
      </c>
      <c r="Q17" t="s">
        <v>189</v>
      </c>
      <c r="R17" t="s">
        <v>47</v>
      </c>
      <c r="S17" t="s">
        <v>68</v>
      </c>
      <c r="T17" t="s">
        <v>168</v>
      </c>
      <c r="U17" t="s">
        <v>135</v>
      </c>
      <c r="V17" t="s">
        <v>158</v>
      </c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s="21" customFormat="1" ht="38" customHeight="1">
      <c r="A18" t="s">
        <v>13</v>
      </c>
      <c r="B18" t="str">
        <f>D18&amp;", "&amp;E18&amp;", "&amp;F18&amp;", "&amp;G18&amp;", "&amp;H18&amp;", "&amp;I18&amp;", "&amp;J18&amp;", "&amp;K18&amp;", "&amp;L18&amp;", "&amp;M18&amp;", "&amp;N18&amp;", "&amp;O18&amp;", "&amp;P18&amp;", "&amp;Q18&amp;", "&amp;R18&amp;", "&amp;S18&amp;", "&amp;T18&amp;", "&amp;U18&amp;", "&amp;V18&amp;", "&amp;W18&amp;", "&amp;X18&amp;", "&amp;Y18&amp;", "&amp;Z18&amp;", "&amp;AA18&amp;", "&amp;AB18&amp;", "&amp;AC18&amp;", "&amp;AD18&amp;", "&amp;AE18&amp;", "&amp;AF18&amp;", "&amp;AG18&amp;", "&amp;AH18&amp;", "&amp;AI18&amp;", "&amp;AJ18&amp;", "&amp;AK18&amp;", "&amp;AL18&amp;", "&amp;AM18&amp;", "&amp;AN18&amp;", "&amp;AO18&amp;", "&amp;AP18&amp;", "&amp;AQ18&amp;", "&amp;AR18&amp;", "&amp;AS18&amp;", "&amp;AT18&amp;", "&amp;AU18&amp;", "&amp;AV18</f>
        <v>Amoxicillin, Ampicillin, Cefacetrile, Cefalexin, Cefalonium, Cefazolin, Cefoperazone, Cefquinome, Ceftiofur, Cefuroxime, Cephapirin, Cloxacillin, Dicloxacillin, Oxacillin, Penicillin G, Ciprofloxacin, Danofloxacin, Enrofloxacin , Flumequin, Lomefloxacin, Marbofloxacin, Naladixic Acid, Ofloxacin, Norfloxacin, Pefloxacin, Orbifloxacin, Sulfacetamide, Sulfachlorpyridazine, Sulfadiazine, Sulfadimethoxine, Sulfadoxine, Sulfaethoxypyridazine, Sulfamerazine, Sulfamethizole, Sulfadimidine, Sulfamethoxazole, Sulfamethoxypyridazine, Sulfapyridine, Sulfaquinoxaline, Sulfathiazole, Sulfisoxazole, Chlortetracycline, Doxycycline, Oxytetracycline, Tetracycline</v>
      </c>
      <c r="C18" t="str">
        <f>VLOOKUP(D18,DrugNames!A:B,2,FALSE)&amp;", "&amp;VLOOKUP(E18,DrugNames!A:B,2,FALSE)&amp;", "&amp;VLOOKUP(F18,DrugNames!A:B,2,FALSE)&amp;", "&amp;VLOOKUP(G18,DrugNames!A:B,2,FALSE)&amp;", "&amp;VLOOKUP(H18,DrugNames!A:B,2,FALSE)&amp;", "&amp;VLOOKUP(I18,DrugNames!A:B,2,FALSE)&amp;", "&amp;VLOOKUP(J18,DrugNames!A:B,2,FALSE)&amp;", "&amp;VLOOKUP(K18,DrugNames!A:B,2,FALSE)&amp;", "&amp;VLOOKUP(L18,DrugNames!A:B,2,FALSE)&amp;", "&amp;VLOOKUP(M18,DrugNames!A:B,2,FALSE)&amp;", "&amp;VLOOKUP(N18,DrugNames!A:B,2,FALSE)&amp;", "&amp;VLOOKUP(O18,DrugNames!A:B,2,FALSE)&amp;", "&amp;VLOOKUP(P18,DrugNames!A:B,2,FALSE)&amp;", "&amp;VLOOKUP(Q18,DrugNames!A:B,2,FALSE)&amp;", "&amp;VLOOKUP(R18,DrugNames!A:B,2,FALSE)&amp;", "&amp;VLOOKUP(S18,DrugNames!A:B,2,FALSE)&amp;", "&amp;VLOOKUP(T18,DrugNames!A:B,2,FALSE)&amp;", "&amp;VLOOKUP(U18,DrugNames!A:B,2,FALSE)&amp;", "&amp;VLOOKUP(V18,DrugNames!A:B,2,FALSE)&amp;", "&amp;VLOOKUP(W18,DrugNames!A:B,2,FALSE)&amp;", "&amp;VLOOKUP(X18,DrugNames!A:B,2,FALSE)&amp;", "&amp;VLOOKUP(Y18,DrugNames!A:B,2,FALSE)&amp;", "&amp;VLOOKUP(Z18,DrugNames!A:B,2,FALSE)&amp;", "&amp;VLOOKUP(AA18,DrugNames!A:B,2,FALSE)&amp;", "&amp;VLOOKUP(AB18,DrugNames!A:B,2,FALSE)&amp;", "&amp;VLOOKUP(AC18,DrugNames!A:B,2,FALSE)&amp;", "&amp;VLOOKUP(AD18,DrugNames!A:B,2,FALSE)&amp;", "&amp;VLOOKUP(AE18,DrugNames!A:B,2,FALSE)&amp;", "&amp;VLOOKUP(AF18,DrugNames!A:B,2,FALSE)&amp;", "&amp;VLOOKUP(AG18,DrugNames!A:B,2,FALSE)&amp;", "&amp;VLOOKUP(AH18,DrugNames!A:B,2,FALSE)&amp;", "&amp;VLOOKUP(AI18,DrugNames!A:B,2,FALSE)&amp;", "&amp;VLOOKUP(AJ18,DrugNames!A:B,2,FALSE)&amp;", "&amp;VLOOKUP(AK18,DrugNames!A:B,2,FALSE)&amp;", "&amp;VLOOKUP(AL18,DrugNames!A:B,2,FALSE)&amp;", "&amp;VLOOKUP(AM18,DrugNames!A:B,2,FALSE)&amp;", "&amp;VLOOKUP(AN18,DrugNames!A:B,2,FALSE)&amp;", "&amp;VLOOKUP(AO18,DrugNames!A:B,2,FALSE)&amp;", "&amp;VLOOKUP(AP18,DrugNames!A:B,2,FALSE)&amp;", "&amp;VLOOKUP(AQ18,DrugNames!A:B,2,FALSE)&amp;", "&amp;VLOOKUP(AR18,DrugNames!A:B,2,FALSE)&amp;", "&amp;VLOOKUP(AS18,DrugNames!A:B,2,FALSE)&amp;", "&amp;VLOOKUP(AT18,DrugNames!A:B,2,FALSE)&amp;", "&amp;VLOOKUP(AU18,DrugNames!A:B,2,FALSE)&amp;", "&amp;VLOOKUP(AV18,DrugNames!A:B,2,FALSE)</f>
        <v>Amoxi-Bol, Amoxi-Inject (Cattle), Amoxi-Sol, Ampi-Bol, Ampicillin Trihydrate, Polyflex, Princillin Bolus, Princillin Injection, , , , , , , Ceftiofur for Injection, EXCEDE, Excenel, Naxcel Sterile Powder, SPECTRAMAST DC, SPECTRAMAST LC, , Cefa-Dri, Cefa-Lak, Today, Tomorrow, Tomorrow Infusion, Boviclox, Dariclox, Dry-Clox, Orbenin DC, , 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, Advocin Sterile Injectable Solution, Baytril 100, Enroflox 100, , , , , , , , , , Prinzone, Pyradan, Vetisulid, , Agribon, Albon, Di-Methox, SDM Sulfadimethoxine Concentrated Solution 12.5%, Sulfadimethoxine, SulfaMed, Sulforal, , S.E.Z., , , , , , , Liquid Sul-Q-Nox, , , Aureo S 700, Aureomix, Aureomycin, Chloratet, ChlorMax, Chloromax, Chloronex, Chlortetracycline hydrochloride soluble powder, Chlortetracycline, CLTC, CTC Bisulfate Soluble Powder, Deracin, Fermycin Soluble, Pennchlor, PfiChlor, 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D18" t="s">
        <v>4</v>
      </c>
      <c r="E18" t="s">
        <v>1</v>
      </c>
      <c r="F18" t="s">
        <v>173</v>
      </c>
      <c r="G18" t="s">
        <v>184</v>
      </c>
      <c r="H18" t="s">
        <v>174</v>
      </c>
      <c r="I18" t="s">
        <v>175</v>
      </c>
      <c r="J18" t="s">
        <v>24</v>
      </c>
      <c r="K18" t="s">
        <v>25</v>
      </c>
      <c r="L18" t="s">
        <v>5</v>
      </c>
      <c r="M18" t="s">
        <v>176</v>
      </c>
      <c r="N18" t="s">
        <v>26</v>
      </c>
      <c r="O18" t="s">
        <v>34</v>
      </c>
      <c r="P18" t="s">
        <v>177</v>
      </c>
      <c r="Q18" t="s">
        <v>178</v>
      </c>
      <c r="R18" t="s">
        <v>16</v>
      </c>
      <c r="S18" t="s">
        <v>191</v>
      </c>
      <c r="T18" t="s">
        <v>192</v>
      </c>
      <c r="U18" t="s">
        <v>228</v>
      </c>
      <c r="V18" t="s">
        <v>193</v>
      </c>
      <c r="W18" t="s">
        <v>194</v>
      </c>
      <c r="X18" t="s">
        <v>195</v>
      </c>
      <c r="Y18" t="s">
        <v>196</v>
      </c>
      <c r="Z18" t="s">
        <v>197</v>
      </c>
      <c r="AA18" t="s">
        <v>198</v>
      </c>
      <c r="AB18" t="s">
        <v>199</v>
      </c>
      <c r="AC18" t="s">
        <v>200</v>
      </c>
      <c r="AD18" t="s">
        <v>159</v>
      </c>
      <c r="AE18" t="s">
        <v>54</v>
      </c>
      <c r="AF18" t="s">
        <v>160</v>
      </c>
      <c r="AG18" t="s">
        <v>57</v>
      </c>
      <c r="AH18" t="s">
        <v>58</v>
      </c>
      <c r="AI18" t="s">
        <v>161</v>
      </c>
      <c r="AJ18" t="s">
        <v>59</v>
      </c>
      <c r="AK18" t="s">
        <v>62</v>
      </c>
      <c r="AL18" t="s">
        <v>227</v>
      </c>
      <c r="AM18" t="s">
        <v>162</v>
      </c>
      <c r="AN18" t="s">
        <v>163</v>
      </c>
      <c r="AO18" t="s">
        <v>63</v>
      </c>
      <c r="AP18" t="s">
        <v>64</v>
      </c>
      <c r="AQ18" t="s">
        <v>66</v>
      </c>
      <c r="AR18" t="s">
        <v>164</v>
      </c>
      <c r="AS18" t="s">
        <v>30</v>
      </c>
      <c r="AT18" t="s">
        <v>189</v>
      </c>
      <c r="AU18" t="s">
        <v>47</v>
      </c>
      <c r="AV18" t="s">
        <v>68</v>
      </c>
    </row>
    <row r="19" spans="1:48" s="21" customFormat="1" ht="38" customHeight="1">
      <c r="A19" t="s">
        <v>52</v>
      </c>
      <c r="B19" t="str">
        <f>D19&amp;", "&amp;E19&amp;", "&amp;F19&amp;", "&amp;G19&amp;", "&amp;H19&amp;", "&amp;I19</f>
        <v>Erythromycin, Lincomycin, Pirlimycin, Spiramycin, Tilmicosin, Tylosin</v>
      </c>
      <c r="C19" t="str">
        <f>VLOOKUP(D19,DrugNames!A:B,2,FALSE)&amp;", "&amp;VLOOKUP(E19,DrugNames!A:B,2,FALSE)&amp;", "&amp;VLOOKUP(F19,DrugNames!A:B,2,FALSE)&amp;", "&amp;VLOOKUP(G19,DrugNames!A:B,2,FALSE)&amp;", "&amp;VLOOKUP(H19,DrugNames!A:B,2,FALSE)&amp;", "&amp;VLOOKUP(I19,DrugNames!A:B,2,FALSE)</f>
        <v>Erythro, Erythromast 36, Gallimycin, , Pirsue Sterile Solution, , Micotil, Pulmotil, Tilmovet, BiloVet, Component T- with Tylan, Component E with Tylan, Component TE- with Tylan, Gilt Edge Tylan Mix, Good-Life Tylan 10 Premix, Hy-Con Tylan Premix, McNess Custom Premix L200, Purina Hog Plus II, Quali-Tech Tylan-10 Premix, Seeco Inc T-10 Premix, Tylan, Tylosin, Tylovet, Waynextra For Swine</v>
      </c>
      <c r="D19" t="s">
        <v>201</v>
      </c>
      <c r="E19" t="s">
        <v>202</v>
      </c>
      <c r="F19" t="s">
        <v>50</v>
      </c>
      <c r="G19" t="s">
        <v>203</v>
      </c>
      <c r="H19" t="s">
        <v>204</v>
      </c>
      <c r="I19" t="s">
        <v>205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s="21" customFormat="1" ht="77" customHeight="1">
      <c r="A20" t="s">
        <v>133</v>
      </c>
      <c r="B20" t="str">
        <f>D20&amp;", "&amp;E20&amp;", "&amp;F20&amp;", "&amp;G20&amp;", "&amp;H20</f>
        <v>Dihydrostreptomycin, Kanamycin, Neomycin, Spectinomycin, Streptomycin</v>
      </c>
      <c r="C20" t="str">
        <f>VLOOKUP(D20,DrugNames!A:B,2,FALSE)&amp;", "&amp;VLOOKUP(E20,DrugNames!A:B,2,FALSE)&amp;", "&amp;VLOOKUP(F20,DrugNames!A:B,2,FALSE)&amp;", "&amp;VLOOKUP(G20,DrugNames!A:B,2,FALSE)&amp;", "&amp;VLOOKUP(H20,DrugNames!A:B,2,FALSE)</f>
        <v>Dihydrostreptomycin, Dry-Mast, Pfizer-Strep, Quartermaster Suspension, , Biosol Liquid, Neo 200 Oral Solution, Neo Predef Sterile Ointment, Neo-Oxy, Neo-Sol 50, Neo-Terramycin, NeoMed 325 Soluble Powder, NeoMed Soluble Powder, Neomix 325, Neomix Ag 325, Neomycin, Neomycin Sulfate, Neosol Soluble Powder, Neosol-Oral, Adspec Sterile Solution, Strep Sol, Streptomycin Oral Solution</v>
      </c>
      <c r="D20" t="s">
        <v>135</v>
      </c>
      <c r="E20" t="s">
        <v>206</v>
      </c>
      <c r="F20" t="s">
        <v>136</v>
      </c>
      <c r="G20" t="s">
        <v>207</v>
      </c>
      <c r="H20" t="s">
        <v>158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 s="21" customFormat="1" ht="27" customHeight="1">
      <c r="A21" t="s">
        <v>150</v>
      </c>
      <c r="B21" t="str">
        <f>D21&amp;", "&amp;E21&amp;", "&amp;F21&amp;", "&amp;G21&amp;", "&amp;H21&amp;", "&amp;I21&amp;", "&amp;J21&amp;", "&amp;K21&amp;", "&amp;L21&amp;", "&amp;M21&amp;", "&amp;N21&amp;", "&amp;O21</f>
        <v>Ciprofloxacin, Danofloxacin, Difloxacin, Enrofloxacin , Flumequin, Lomefloxacin, Marbofloxacin, Naladixic Acid, Norofloxacin, Ofloxacin, Sarafloxacin, Oxolinic Acid</v>
      </c>
      <c r="C21" t="str">
        <f>VLOOKUP(D21,DrugNames!A:B,2,FALSE)&amp;", "&amp;VLOOKUP(E21,DrugNames!A:B,2,FALSE)&amp;", "&amp;VLOOKUP(F21,DrugNames!A:B,2,FALSE)&amp;", "&amp;VLOOKUP(G21,DrugNames!A:B,2,FALSE)&amp;", "&amp;VLOOKUP(H21,DrugNames!A:B,2,FALSE)&amp;", "&amp;VLOOKUP(I21,DrugNames!A:B,2,FALSE)&amp;", "&amp;VLOOKUP(J21,DrugNames!A:B,2,FALSE)&amp;", "&amp;VLOOKUP(K21,DrugNames!A:B,2,FALSE)&amp;", "&amp;VLOOKUP(L21,DrugNames!A:B,2,FALSE)&amp;", "&amp;VLOOKUP(M21,DrugNames!A:B,2,FALSE)&amp;", "&amp;VLOOKUP(N21,DrugNames!A:B,2,FALSE)&amp;", "&amp;VLOOKUP(O21,DrugNames!A:B,2,FALSE)</f>
        <v xml:space="preserve">, Advocin Sterile Injectable Solution, , Baytril 100, Enroflox 100, , , , , , , , </v>
      </c>
      <c r="D21" t="s">
        <v>191</v>
      </c>
      <c r="E21" t="s">
        <v>192</v>
      </c>
      <c r="F21" t="s">
        <v>208</v>
      </c>
      <c r="G21" t="s">
        <v>228</v>
      </c>
      <c r="H21" t="s">
        <v>193</v>
      </c>
      <c r="I21" t="s">
        <v>194</v>
      </c>
      <c r="J21" t="s">
        <v>195</v>
      </c>
      <c r="K21" t="s">
        <v>196</v>
      </c>
      <c r="L21" t="s">
        <v>209</v>
      </c>
      <c r="M21" t="s">
        <v>197</v>
      </c>
      <c r="N21" t="s">
        <v>210</v>
      </c>
      <c r="O21" t="s">
        <v>477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s="21" customFormat="1">
      <c r="A22" t="s">
        <v>171</v>
      </c>
      <c r="B22" t="str">
        <f>D22&amp;", "&amp;E22&amp;", "&amp;F22&amp;", "&amp;G22&amp;", "&amp;H22&amp;", "&amp;I22&amp;", "&amp;J22&amp;", "&amp;K22&amp;", "&amp;L22&amp;", "&amp;M22&amp;", "&amp;N22&amp;", "&amp;O22&amp;", "&amp;P22&amp;", "&amp;Q22&amp;", "&amp;R22</f>
        <v>Cefacetrile, Cefalexin, Cefalonium, Cefazolin, Cefoperazone, Cefquinome, Cefuroxime, Cloxacillin, Dicloxacillin, Oxacillin, Amoxicillin, Ampicillin, Ceftiofur, Cephapirin, Penicillin G</v>
      </c>
      <c r="C22" t="str">
        <f>VLOOKUP(D22,DrugNames!A:B,2,FALSE)&amp;", "&amp;VLOOKUP(E22,DrugNames!A:B,2,FALSE)&amp;", "&amp;VLOOKUP(F22,DrugNames!A:B,2,FALSE)&amp;", "&amp;VLOOKUP(G22,DrugNames!A:B,2,FALSE)&amp;", "&amp;VLOOKUP(H22,DrugNames!A:B,2,FALSE)&amp;", "&amp;VLOOKUP(I22,DrugNames!A:B,2,FALSE)&amp;", "&amp;VLOOKUP(J22,DrugNames!A:B,2,FALSE)&amp;", "&amp;VLOOKUP(K22,DrugNames!A:B,2,FALSE)&amp;", "&amp;VLOOKUP(L22,DrugNames!A:B,2,FALSE)&amp;", "&amp;VLOOKUP(M22,DrugNames!A:B,2,FALSE)&amp;", "&amp;VLOOKUP(N22,DrugNames!A:B,2,FALSE)&amp;", "&amp;VLOOKUP(O22,DrugNames!A:B,2,FALSE)&amp;", "&amp;VLOOKUP(P22,DrugNames!A:B,2,FALSE)&amp;", "&amp;VLOOKUP(Q22,DrugNames!A:B,2,FALSE)&amp;", "&amp;VLOOKUP(R22,DrugNames!A:B,2,FALSE)</f>
        <v>, , , , , , , Boviclox, Dariclox, Dry-Clox, Orbenin DC, , , 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D22" t="s">
        <v>173</v>
      </c>
      <c r="E22" t="s">
        <v>184</v>
      </c>
      <c r="F22" t="s">
        <v>174</v>
      </c>
      <c r="G22" t="s">
        <v>175</v>
      </c>
      <c r="H22" t="s">
        <v>24</v>
      </c>
      <c r="I22" t="s">
        <v>25</v>
      </c>
      <c r="J22" t="s">
        <v>176</v>
      </c>
      <c r="K22" t="s">
        <v>34</v>
      </c>
      <c r="L22" t="s">
        <v>177</v>
      </c>
      <c r="M22" t="s">
        <v>178</v>
      </c>
      <c r="N22" t="s">
        <v>4</v>
      </c>
      <c r="O22" t="s">
        <v>1</v>
      </c>
      <c r="P22" t="s">
        <v>5</v>
      </c>
      <c r="Q22" t="s">
        <v>26</v>
      </c>
      <c r="R22" t="s">
        <v>16</v>
      </c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 s="21" customFormat="1" ht="53" customHeight="1">
      <c r="A23" t="s">
        <v>217</v>
      </c>
      <c r="B23" t="str">
        <f>D23&amp;", "&amp;E23&amp;", "&amp;F23&amp;", "&amp;G23&amp;", "&amp;H23&amp;", "&amp;I23</f>
        <v>Amoxicillin, Ampicillin, Ceftiofur, Cephapirin, Cloxacillin, Penicillin G</v>
      </c>
      <c r="C23" t="str">
        <f>VLOOKUP(D23,DrugNames!A:B,2,FALSE)&amp;", "&amp;VLOOKUP(E23,DrugNames!A:B,2,FALSE)&amp;", "&amp;VLOOKUP(F23,DrugNames!A:B,2,FALSE)&amp;", "&amp;VLOOKUP(G23,DrugNames!A:B,2,FALSE)&amp;", "&amp;VLOOKUP(H23,DrugNames!A:B,2,FALSE)&amp;", "&amp;VLOOKUP(I23,DrugNames!A:B,2,FALSE)</f>
        <v>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Boviclox, Dariclox, Dry-Clox, Orbenin DC,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D23" t="s">
        <v>4</v>
      </c>
      <c r="E23" t="s">
        <v>1</v>
      </c>
      <c r="F23" t="s">
        <v>5</v>
      </c>
      <c r="G23" t="s">
        <v>26</v>
      </c>
      <c r="H23" t="s">
        <v>34</v>
      </c>
      <c r="I23" t="s">
        <v>16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 s="21" customFormat="1" ht="53" customHeight="1">
      <c r="A24" t="s">
        <v>146</v>
      </c>
      <c r="B24" t="str">
        <f>D24</f>
        <v>Aflatoxin M1</v>
      </c>
      <c r="C24">
        <f>VLOOKUP(D24,DrugNames!A:B,2,FALSE)</f>
        <v>0</v>
      </c>
      <c r="D24" t="s">
        <v>145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s="21" customFormat="1" ht="92" customHeight="1">
      <c r="A25" t="s">
        <v>29</v>
      </c>
      <c r="B25" t="str">
        <f>D25</f>
        <v>Aflatoxin M1</v>
      </c>
      <c r="C25">
        <f>VLOOKUP(D25,DrugNames!A:B,2,FALSE)</f>
        <v>0</v>
      </c>
      <c r="D25" t="s">
        <v>145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s="21" customFormat="1">
      <c r="A26" t="s">
        <v>3</v>
      </c>
      <c r="B26" t="str">
        <f>D26&amp;", "&amp;E26&amp;", "&amp;F26&amp;", "&amp;G26&amp;", "&amp;H26</f>
        <v>Amoxicillin, Ampicillin, Ceftiofur, Cephapirin, Penicillin G</v>
      </c>
      <c r="C26" t="str">
        <f>VLOOKUP(D26,DrugNames!A:B,2,FALSE)&amp;", "&amp;VLOOKUP(E26,DrugNames!A:B,2,FALSE)&amp;", "&amp;VLOOKUP(F26,DrugNames!A:B,2,FALSE)&amp;", "&amp;VLOOKUP(G26,DrugNames!A:B,2,FALSE)&amp;", "&amp;VLOOKUP(H26,DrugNames!A:B,2,FALSE)</f>
        <v>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D26" t="s">
        <v>4</v>
      </c>
      <c r="E26" t="s">
        <v>1</v>
      </c>
      <c r="F26" t="s">
        <v>5</v>
      </c>
      <c r="G26" t="s">
        <v>26</v>
      </c>
      <c r="H26" t="s">
        <v>16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s="21" customFormat="1">
      <c r="A27" t="s">
        <v>151</v>
      </c>
      <c r="B27" t="str">
        <f>D27&amp;", "&amp;E27</f>
        <v>Dihydrostreptomycin, Streptomycin</v>
      </c>
      <c r="C27" t="str">
        <f>VLOOKUP(D27,DrugNames!A:B,2,FALSE)&amp;", "&amp;VLOOKUP(E27,DrugNames!A:B,2,FALSE)</f>
        <v>Dihydrostreptomycin, Dry-Mast, Pfizer-Strep, Quartermaster Suspension, Strep Sol, Streptomycin Oral Solution</v>
      </c>
      <c r="D27" t="s">
        <v>135</v>
      </c>
      <c r="E27" t="s">
        <v>158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s="21" customFormat="1">
      <c r="A28" t="s">
        <v>55</v>
      </c>
      <c r="B28" t="str">
        <f>D28&amp;", "&amp;E28</f>
        <v>Sulfadimethoxine, Sulfamethazine</v>
      </c>
      <c r="C28" t="str">
        <f>VLOOKUP(D28,DrugNames!A:B,2,FALSE)&amp;", "&amp;VLOOKUP(E28,DrugNames!A:B,2,FALSE)</f>
        <v>Agribon, Albon, Di-Methox, SDM Sulfadimethoxine Concentrated Solution 12.5%, Sulfadimethoxine, SulfaMed, Sulforal, Aureo S 700, Aureomix 700, Calfspan, HavaSpan Prolonged Release Bolus, Pennchlor S, Purina Sulfa, SMZ-Med, Sulfamethazine Spanbolet II, Sulfamethazine Sustained Release Bolus, SulfaSpan Prolonged Release Bolus , Sulka-S Bolus, Sulmet, Sustain III, Veta-Meth</v>
      </c>
      <c r="D28" t="s">
        <v>57</v>
      </c>
      <c r="E28" t="s">
        <v>60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 s="21" customFormat="1" ht="42" customHeight="1">
      <c r="A29" t="s">
        <v>154</v>
      </c>
      <c r="B29" t="str">
        <f>D29&amp;", "&amp;E29&amp;", "&amp;F29&amp;", "&amp;G29&amp;", "&amp;H29&amp;", "&amp;I29&amp;", "&amp;J29&amp;", "&amp;K29&amp;", "&amp;L29&amp;", "&amp;M29&amp;", "&amp;N29&amp;", "&amp;O29&amp;", "&amp;P29&amp;", "&amp;Q29&amp;", "&amp;R29&amp;", "&amp;S29</f>
        <v>Sulfacetamide, Sulfachlorpyridazine, Sulfadiazine, Sulfadimethoxine, Sulfadoxine, Sulfaethoxypyridazine, Sulfaguanidine, Sulfamerazine, Sulfamethazine, Sulfamethizole, Sulfamethoxazole, Sulfamethoxypyridazine, Sulfapyridine, Sulfaquinoxaline, Sulfathiazole, Sulfisoxazole</v>
      </c>
      <c r="C29" t="str">
        <f>VLOOKUP(D29,DrugNames!A:B,2,FALSE)&amp;", "&amp;VLOOKUP(E29,DrugNames!A:B,2,FALSE)&amp;", "&amp;VLOOKUP(F29,DrugNames!A:B,2,FALSE)&amp;", "&amp;VLOOKUP(G29,DrugNames!A:B,2,FALSE)&amp;", "&amp;VLOOKUP(H29,DrugNames!A:B,2,FALSE)&amp;", "&amp;VLOOKUP(I29,DrugNames!A:B,2,FALSE)&amp;", "&amp;VLOOKUP(J29,DrugNames!A:B,2,FALSE)&amp;", "&amp;VLOOKUP(K29,DrugNames!A:B,2,FALSE)&amp;", "&amp;VLOOKUP(L29,DrugNames!A:B,2,FALSE)&amp;", "&amp;VLOOKUP(M29,DrugNames!A:B,2,FALSE)&amp;", "&amp;VLOOKUP(N29,DrugNames!A:B,2,FALSE)&amp;", "&amp;VLOOKUP(O29,DrugNames!A:B,2,FALSE)&amp;", "&amp;VLOOKUP(P29,DrugNames!A:B,2,FALSE)&amp;", "&amp;VLOOKUP(Q29,DrugNames!A:B,2,FALSE)&amp;", "&amp;VLOOKUP(R29,DrugNames!A:B,2,FALSE)&amp;", "&amp;VLOOKUP(S29,DrugNames!A:B,2,FALSE)</f>
        <v xml:space="preserve">, Prinzone, Pyradan, Vetisulid, , Agribon, Albon, Di-Methox, SDM Sulfadimethoxine Concentrated Solution 12.5%, Sulfadimethoxine, SulfaMed, Sulforal, , S.E.Z., , , Aureo S 700, Aureomix 700, Calfspan, HavaSpan Prolonged Release Bolus, Pennchlor S, Purina Sulfa, SMZ-Med, Sulfamethazine Spanbolet II, Sulfamethazine Sustained Release Bolus, SulfaSpan Prolonged Release Bolus , Sulka-S Bolus, Sulmet, Sustain III, Veta-Meth, , , , , Liquid Sul-Q-Nox, , </v>
      </c>
      <c r="D29" t="s">
        <v>159</v>
      </c>
      <c r="E29" t="s">
        <v>54</v>
      </c>
      <c r="F29" t="s">
        <v>160</v>
      </c>
      <c r="G29" t="s">
        <v>57</v>
      </c>
      <c r="H29" t="s">
        <v>58</v>
      </c>
      <c r="I29" t="s">
        <v>161</v>
      </c>
      <c r="J29" t="s">
        <v>212</v>
      </c>
      <c r="K29" t="s">
        <v>59</v>
      </c>
      <c r="L29" t="s">
        <v>60</v>
      </c>
      <c r="M29" t="s">
        <v>62</v>
      </c>
      <c r="N29" t="s">
        <v>162</v>
      </c>
      <c r="O29" t="s">
        <v>163</v>
      </c>
      <c r="P29" t="s">
        <v>63</v>
      </c>
      <c r="Q29" t="s">
        <v>64</v>
      </c>
      <c r="R29" t="s">
        <v>66</v>
      </c>
      <c r="S29" t="s">
        <v>164</v>
      </c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>
      <c r="A30" t="s">
        <v>32</v>
      </c>
      <c r="B30" t="str">
        <f>D30&amp;", "&amp;E30&amp;", "&amp;F30</f>
        <v>Chlortetracycline, Oxytetracycline, Tetracycline</v>
      </c>
      <c r="C30" t="str">
        <f>VLOOKUP(D30,DrugNames!A:B,2,FALSE)&amp;", "&amp;VLOOKUP(E30,DrugNames!A:B,2,FALSE)&amp;", "&amp;VLOOKUP(F30,DrugNames!A:B,2,FALSE)</f>
        <v>Aureo S 700, Aureomix, Aureomycin, Chloratet, ChlorMax, Chloromax, Chloronex, Chlortetracycline hydrochloride soluble powder, Chlortetracycline, CLTC, CTC Bisulfate Soluble Powder, Deracin, Fermycin Soluble, Pennchlor, PfiChlor,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D30" t="s">
        <v>30</v>
      </c>
      <c r="E30" t="s">
        <v>47</v>
      </c>
      <c r="F30" t="s">
        <v>68</v>
      </c>
    </row>
    <row r="31" spans="1:48">
      <c r="A31" t="s">
        <v>33</v>
      </c>
      <c r="B31" t="str">
        <f>D31&amp;", "&amp;E31&amp;", "&amp;F31</f>
        <v>Chlortetracycline, Oxytetracycline, Tetracycline</v>
      </c>
      <c r="C31" t="str">
        <f>VLOOKUP(D31,DrugNames!A:B,2,FALSE)&amp;", "&amp;VLOOKUP(E31,DrugNames!A:B,2,FALSE)&amp;", "&amp;VLOOKUP(F31,DrugNames!A:B,2,FALSE)</f>
        <v>Aureo S 700, Aureomix, Aureomycin, Chloratet, ChlorMax, Chloromax, Chloronex, Chlortetracycline hydrochloride soluble powder, Chlortetracycline, CLTC, CTC Bisulfate Soluble Powder, Deracin, Fermycin Soluble, Pennchlor, PfiChlor,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Panmycin, Polyotic, Tet-Sol, Tetra-Bac 324, Tetra-Sal, Tetracycline, Tetracycline Hydrochloride Soluble Powder-324, Tetracycline HCL Powder, TetraMed, Tetrasol Soluble Powder, TetraSure 324</v>
      </c>
      <c r="D31" t="s">
        <v>30</v>
      </c>
      <c r="E31" t="s">
        <v>47</v>
      </c>
      <c r="F31" t="s">
        <v>68</v>
      </c>
    </row>
    <row r="32" spans="1:48">
      <c r="A32" t="s">
        <v>12</v>
      </c>
      <c r="B32" t="str">
        <f>D32&amp;", "&amp;E32&amp;", "&amp;F32&amp;", "&amp;G32&amp;", "&amp;H32&amp;", "&amp;I32&amp;", "&amp;J32&amp;", "&amp;K32&amp;", "&amp;L32&amp;", "&amp;M32&amp;", "&amp;N32</f>
        <v>Amoxicillin, Ampicillin, Ceftiofur, Cephapirin, Chlortetracycline, Cloxacillin, Oxytetracycline, Penicillin G, Sulfadimethoxine, Sulfamethazine, Tetracycline</v>
      </c>
      <c r="C32" t="str">
        <f>VLOOKUP(D32,DrugNames!A:B,2,FALSE)&amp;", "&amp;VLOOKUP(E32,DrugNames!A:B,2,FALSE)&amp;", "&amp;VLOOKUP(F32,DrugNames!A:B,2,FALSE)&amp;", "&amp;VLOOKUP(G32,DrugNames!A:B,2,FALSE)&amp;", "&amp;VLOOKUP(H32,DrugNames!A:B,2,FALSE)&amp;", "&amp;VLOOKUP(I32,DrugNames!A:B,2,FALSE)&amp;", "&amp;VLOOKUP(J32,DrugNames!A:B,2,FALSE)&amp;", "&amp;VLOOKUP(K32,DrugNames!A:B,2,FALSE)&amp;", "&amp;VLOOKUP(L32,DrugNames!A:B,2,FALSE)&amp;", "&amp;VLOOKUP(M32,DrugNames!A:B,2,FALSE)&amp;", "&amp;VLOOKUP(N32,DrugNames!A:B,2,FALSE)</f>
        <v>Amoxi-Bol, Amoxi-Inject (Cattle), Amoxi-Sol, Ampi-Bol, Ampicillin Trihydrate, Polyflex, Princillin Bolus, Princillin Injection, Ceftiofur for Injection, EXCEDE, Excenel, Naxcel Sterile Powder, SPECTRAMAST DC, SPECTRAMAST LC, Cefa-Dri, Cefa-Lak, Today, Tomorrow, Tomorrow Infusion, Aureo S 700, Aureomix, Aureomycin, Chloratet, ChlorMax, Chloromax, Chloronex, Chlortetracycline hydrochloride soluble powder, Chlortetracycline, CLTC, CTC Bisulfate Soluble Powder, Deracin, Fermycin Soluble, Pennchlor, PfiChlor, Boviclox, Dariclox, Dry-Clox, Orbenin DC, 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Vetrimycin, 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Pen, Agribon, Albon, Di-Methox, SDM Sulfadimethoxine Concentrated Solution 12.5%, Sulfadimethoxine, SulfaMed, Sulforal, Aureo S 700, Aureomix 700, Calfspan, HavaSpan Prolonged Release Bolus, Pennchlor S, Purina Sulfa, SMZ-Med, Sulfamethazine Spanbolet II, Sulfamethazine Sustained Release Bolus, SulfaSpan Prolonged Release Bolus , Sulka-S Bolus, Sulmet, Sustain III, Veta-Meth, Panmycin, Polyotic, Tet-Sol, Tetra-Bac 324, Tetra-Sal, Tetracycline, Tetracycline Hydrochloride Soluble Powder-324, Tetracycline HCL Powder, TetraMed, Tetrasol Soluble Powder, TetraSure 324</v>
      </c>
      <c r="D32" t="s">
        <v>4</v>
      </c>
      <c r="E32" t="s">
        <v>1</v>
      </c>
      <c r="F32" t="s">
        <v>5</v>
      </c>
      <c r="G32" t="s">
        <v>26</v>
      </c>
      <c r="H32" t="s">
        <v>30</v>
      </c>
      <c r="I32" t="s">
        <v>34</v>
      </c>
      <c r="J32" t="s">
        <v>47</v>
      </c>
      <c r="K32" t="s">
        <v>16</v>
      </c>
      <c r="L32" t="s">
        <v>57</v>
      </c>
      <c r="M32" t="s">
        <v>60</v>
      </c>
      <c r="N32" t="s">
        <v>68</v>
      </c>
    </row>
    <row r="33" spans="1:1">
      <c r="A33" t="s">
        <v>224</v>
      </c>
    </row>
    <row r="34" spans="1:1">
      <c r="A34" t="s">
        <v>224</v>
      </c>
    </row>
    <row r="35" spans="1:1">
      <c r="A35" t="s">
        <v>224</v>
      </c>
    </row>
    <row r="36" spans="1:1">
      <c r="A36" t="s">
        <v>224</v>
      </c>
    </row>
    <row r="37" spans="1:1">
      <c r="A37" t="s">
        <v>224</v>
      </c>
    </row>
    <row r="38" spans="1:1">
      <c r="A38" t="s">
        <v>224</v>
      </c>
    </row>
    <row r="39" spans="1:1">
      <c r="A39" t="s">
        <v>224</v>
      </c>
    </row>
    <row r="40" spans="1:1">
      <c r="A40" t="s">
        <v>224</v>
      </c>
    </row>
    <row r="41" spans="1:1">
      <c r="A41" t="s">
        <v>224</v>
      </c>
    </row>
    <row r="42" spans="1:1">
      <c r="A42" t="s">
        <v>224</v>
      </c>
    </row>
    <row r="87" spans="11:13">
      <c r="K87" t="s">
        <v>75</v>
      </c>
    </row>
    <row r="88" spans="11:13">
      <c r="K88" t="s">
        <v>70</v>
      </c>
      <c r="L88" t="s">
        <v>71</v>
      </c>
      <c r="M88" t="s">
        <v>72</v>
      </c>
    </row>
    <row r="89" spans="11:13">
      <c r="K89" t="s">
        <v>4</v>
      </c>
      <c r="L89" t="s">
        <v>54</v>
      </c>
      <c r="M89" t="s">
        <v>30</v>
      </c>
    </row>
    <row r="90" spans="11:13">
      <c r="K90" t="s">
        <v>1</v>
      </c>
      <c r="L90" t="s">
        <v>56</v>
      </c>
      <c r="M90" t="s">
        <v>47</v>
      </c>
    </row>
    <row r="91" spans="11:13">
      <c r="K91" t="s">
        <v>5</v>
      </c>
      <c r="L91" t="s">
        <v>56</v>
      </c>
      <c r="M91" t="s">
        <v>68</v>
      </c>
    </row>
    <row r="92" spans="11:13">
      <c r="K92" t="s">
        <v>26</v>
      </c>
      <c r="L92" t="s">
        <v>57</v>
      </c>
    </row>
    <row r="93" spans="11:13">
      <c r="K93" t="s">
        <v>34</v>
      </c>
      <c r="L93" t="s">
        <v>58</v>
      </c>
    </row>
    <row r="94" spans="11:13">
      <c r="K94" t="s">
        <v>46</v>
      </c>
      <c r="L94" t="s">
        <v>59</v>
      </c>
    </row>
    <row r="95" spans="11:13">
      <c r="K95" t="s">
        <v>16</v>
      </c>
      <c r="L95" t="s">
        <v>60</v>
      </c>
    </row>
    <row r="96" spans="11:13">
      <c r="L96" t="s">
        <v>62</v>
      </c>
    </row>
    <row r="97" spans="11:14">
      <c r="L97" t="s">
        <v>63</v>
      </c>
    </row>
    <row r="98" spans="11:14">
      <c r="L98" t="s">
        <v>64</v>
      </c>
    </row>
    <row r="99" spans="11:14">
      <c r="L99" t="s">
        <v>66</v>
      </c>
    </row>
    <row r="100" spans="11:14">
      <c r="L100" t="s">
        <v>67</v>
      </c>
    </row>
    <row r="102" spans="11:14">
      <c r="K102" t="s">
        <v>74</v>
      </c>
    </row>
    <row r="103" spans="11:14">
      <c r="K103" t="s">
        <v>70</v>
      </c>
      <c r="L103" t="s">
        <v>71</v>
      </c>
      <c r="M103" t="s">
        <v>72</v>
      </c>
      <c r="N103" t="s">
        <v>73</v>
      </c>
    </row>
    <row r="104" spans="11:14">
      <c r="K104" t="s">
        <v>4</v>
      </c>
      <c r="L104" t="s">
        <v>54</v>
      </c>
      <c r="M104" t="s">
        <v>30</v>
      </c>
      <c r="N104" t="s">
        <v>37</v>
      </c>
    </row>
    <row r="105" spans="11:14">
      <c r="K105" t="s">
        <v>1</v>
      </c>
      <c r="L105" t="s">
        <v>56</v>
      </c>
      <c r="M105" t="s">
        <v>47</v>
      </c>
    </row>
    <row r="106" spans="11:14">
      <c r="K106" t="s">
        <v>24</v>
      </c>
      <c r="L106" t="s">
        <v>58</v>
      </c>
      <c r="M106" t="s">
        <v>68</v>
      </c>
    </row>
    <row r="107" spans="11:14">
      <c r="K107" t="s">
        <v>5</v>
      </c>
      <c r="L107" t="s">
        <v>59</v>
      </c>
    </row>
    <row r="108" spans="11:14">
      <c r="K108" t="s">
        <v>26</v>
      </c>
      <c r="L108" t="s">
        <v>60</v>
      </c>
    </row>
    <row r="109" spans="11:14">
      <c r="K109" t="s">
        <v>34</v>
      </c>
      <c r="L109" t="s">
        <v>62</v>
      </c>
    </row>
    <row r="110" spans="11:14">
      <c r="K110" t="s">
        <v>46</v>
      </c>
      <c r="L110" t="s">
        <v>63</v>
      </c>
    </row>
    <row r="111" spans="11:14">
      <c r="K111" t="s">
        <v>16</v>
      </c>
      <c r="L111" t="s">
        <v>64</v>
      </c>
    </row>
    <row r="112" spans="11:14">
      <c r="L112" t="s">
        <v>66</v>
      </c>
    </row>
    <row r="113" spans="11:12">
      <c r="L113" t="s">
        <v>67</v>
      </c>
    </row>
    <row r="115" spans="11:12">
      <c r="K115" t="s">
        <v>76</v>
      </c>
    </row>
    <row r="116" spans="11:12">
      <c r="K116" t="s">
        <v>70</v>
      </c>
      <c r="L116" t="s">
        <v>72</v>
      </c>
    </row>
    <row r="117" spans="11:12">
      <c r="K117" t="s">
        <v>4</v>
      </c>
      <c r="L117" t="s">
        <v>30</v>
      </c>
    </row>
    <row r="118" spans="11:12">
      <c r="K118" t="s">
        <v>1</v>
      </c>
      <c r="L118" t="s">
        <v>47</v>
      </c>
    </row>
    <row r="119" spans="11:12">
      <c r="K119" t="s">
        <v>24</v>
      </c>
      <c r="L119" t="s">
        <v>68</v>
      </c>
    </row>
    <row r="120" spans="11:12">
      <c r="K120" t="s">
        <v>25</v>
      </c>
    </row>
    <row r="121" spans="11:12">
      <c r="K121" t="s">
        <v>5</v>
      </c>
    </row>
    <row r="122" spans="11:12">
      <c r="K122" t="s">
        <v>26</v>
      </c>
    </row>
    <row r="123" spans="11:12">
      <c r="K123" t="s">
        <v>34</v>
      </c>
    </row>
    <row r="124" spans="11:12">
      <c r="K124" t="s">
        <v>46</v>
      </c>
    </row>
    <row r="125" spans="11:12">
      <c r="K125" t="s">
        <v>16</v>
      </c>
    </row>
    <row r="127" spans="11:12">
      <c r="K127" t="s">
        <v>77</v>
      </c>
    </row>
    <row r="128" spans="11:12">
      <c r="K128" t="s">
        <v>70</v>
      </c>
      <c r="L128" t="s">
        <v>72</v>
      </c>
    </row>
    <row r="129" spans="11:12">
      <c r="K129" t="s">
        <v>4</v>
      </c>
      <c r="L129" t="s">
        <v>30</v>
      </c>
    </row>
    <row r="130" spans="11:12">
      <c r="K130" t="s">
        <v>1</v>
      </c>
      <c r="L130" t="s">
        <v>47</v>
      </c>
    </row>
    <row r="131" spans="11:12">
      <c r="K131" t="s">
        <v>24</v>
      </c>
      <c r="L131" t="s">
        <v>68</v>
      </c>
    </row>
    <row r="132" spans="11:12">
      <c r="K132" t="s">
        <v>25</v>
      </c>
    </row>
    <row r="133" spans="11:12">
      <c r="K133" t="s">
        <v>5</v>
      </c>
    </row>
    <row r="134" spans="11:12">
      <c r="K134" t="s">
        <v>26</v>
      </c>
    </row>
    <row r="135" spans="11:12">
      <c r="K135" t="s">
        <v>34</v>
      </c>
    </row>
    <row r="136" spans="11:12">
      <c r="K136" t="s">
        <v>46</v>
      </c>
    </row>
    <row r="137" spans="11:12">
      <c r="K137" t="s">
        <v>16</v>
      </c>
    </row>
    <row r="139" spans="11:12">
      <c r="K139" t="s">
        <v>79</v>
      </c>
    </row>
    <row r="140" spans="11:12">
      <c r="K140" t="s">
        <v>70</v>
      </c>
      <c r="L140" t="s">
        <v>72</v>
      </c>
    </row>
    <row r="141" spans="11:12">
      <c r="K141" t="s">
        <v>4</v>
      </c>
      <c r="L141" t="s">
        <v>30</v>
      </c>
    </row>
    <row r="142" spans="11:12">
      <c r="K142" t="s">
        <v>1</v>
      </c>
      <c r="L142" t="s">
        <v>47</v>
      </c>
    </row>
    <row r="143" spans="11:12">
      <c r="K143" t="s">
        <v>24</v>
      </c>
      <c r="L143" t="s">
        <v>68</v>
      </c>
    </row>
    <row r="144" spans="11:12">
      <c r="K144" t="s">
        <v>25</v>
      </c>
    </row>
    <row r="145" spans="11:12">
      <c r="K145" t="s">
        <v>5</v>
      </c>
    </row>
    <row r="146" spans="11:12">
      <c r="K146" t="s">
        <v>26</v>
      </c>
    </row>
    <row r="147" spans="11:12">
      <c r="K147" t="s">
        <v>34</v>
      </c>
    </row>
    <row r="148" spans="11:12">
      <c r="K148" t="s">
        <v>46</v>
      </c>
    </row>
    <row r="149" spans="11:12">
      <c r="K149" t="s">
        <v>16</v>
      </c>
    </row>
    <row r="151" spans="11:12">
      <c r="K151" t="s">
        <v>80</v>
      </c>
    </row>
    <row r="152" spans="11:12">
      <c r="K152" t="s">
        <v>70</v>
      </c>
      <c r="L152" t="s">
        <v>40</v>
      </c>
    </row>
    <row r="153" spans="11:12">
      <c r="K153" t="s">
        <v>4</v>
      </c>
      <c r="L153" t="s">
        <v>40</v>
      </c>
    </row>
    <row r="154" spans="11:12">
      <c r="K154" t="s">
        <v>1</v>
      </c>
    </row>
    <row r="155" spans="11:12">
      <c r="K155" t="s">
        <v>24</v>
      </c>
    </row>
    <row r="156" spans="11:12">
      <c r="K156" t="s">
        <v>25</v>
      </c>
    </row>
    <row r="157" spans="11:12">
      <c r="K157" t="s">
        <v>5</v>
      </c>
    </row>
    <row r="158" spans="11:12">
      <c r="K158" t="s">
        <v>26</v>
      </c>
    </row>
    <row r="159" spans="11:12">
      <c r="K159" t="s">
        <v>34</v>
      </c>
    </row>
    <row r="160" spans="11:12">
      <c r="K160" t="s">
        <v>46</v>
      </c>
    </row>
    <row r="161" spans="11:11">
      <c r="K161" t="s">
        <v>16</v>
      </c>
    </row>
  </sheetData>
  <sortState ref="A2:G195">
    <sortCondition ref="F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25"/>
  <sheetViews>
    <sheetView topLeftCell="A107" zoomScale="130" zoomScaleNormal="130" workbookViewId="0">
      <selection activeCell="A26" sqref="A26"/>
    </sheetView>
  </sheetViews>
  <sheetFormatPr baseColWidth="10" defaultRowHeight="15"/>
  <cols>
    <col min="1" max="1" width="20.1640625" style="12" customWidth="1"/>
    <col min="2" max="2" width="27.1640625" style="13" customWidth="1"/>
    <col min="3" max="3" width="12.5" style="5" customWidth="1"/>
    <col min="4" max="4" width="12" customWidth="1"/>
    <col min="5" max="6" width="23.83203125" style="3" customWidth="1"/>
    <col min="7" max="7" width="17.6640625" style="5" customWidth="1"/>
    <col min="8" max="8" width="15" style="5" customWidth="1"/>
    <col min="9" max="9" width="23.6640625" style="5" customWidth="1"/>
    <col min="10" max="12" width="10.83203125" style="5"/>
    <col min="13" max="13" width="18.6640625" style="5" customWidth="1"/>
    <col min="14" max="14" width="10.83203125" style="5"/>
    <col min="15" max="15" width="27" style="4" customWidth="1"/>
    <col min="16" max="16" width="12.83203125" style="5" customWidth="1"/>
    <col min="17" max="19" width="10.83203125" style="5"/>
    <col min="20" max="20" width="20.33203125" style="5" customWidth="1"/>
    <col min="21" max="22" width="10.83203125" style="5"/>
    <col min="23" max="23" width="10.83203125" style="5" customWidth="1"/>
    <col min="24" max="16384" width="10.83203125" style="5"/>
  </cols>
  <sheetData>
    <row r="1" spans="1:40">
      <c r="A1" t="s">
        <v>0</v>
      </c>
      <c r="B1" t="s">
        <v>81</v>
      </c>
      <c r="C1" t="s">
        <v>82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40">
      <c r="A2" t="s">
        <v>22</v>
      </c>
      <c r="B2"/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 s="43"/>
      <c r="AN2" s="43"/>
    </row>
    <row r="3" spans="1:40">
      <c r="A3" t="s">
        <v>145</v>
      </c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 s="44"/>
      <c r="AN3" s="44"/>
    </row>
    <row r="4" spans="1:40">
      <c r="A4" t="s">
        <v>4</v>
      </c>
      <c r="B4" t="str">
        <f>C4&amp;", "&amp;D4&amp;", "&amp;E4</f>
        <v>Amoxi-Bol, Amoxi-Inject (Cattle), Amoxi-Sol</v>
      </c>
      <c r="C4" t="s">
        <v>230</v>
      </c>
      <c r="D4" t="s">
        <v>231</v>
      </c>
      <c r="E4" t="s">
        <v>232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 s="45"/>
      <c r="AN4" s="45"/>
    </row>
    <row r="5" spans="1:40">
      <c r="A5" t="s">
        <v>1</v>
      </c>
      <c r="B5" t="str">
        <f>C5&amp;", "&amp;D5&amp;", "&amp;E5&amp;", "&amp;F5&amp;", "&amp;G5</f>
        <v>Ampi-Bol, Ampicillin Trihydrate, Polyflex, Princillin Bolus, Princillin Injection</v>
      </c>
      <c r="C5" t="s">
        <v>233</v>
      </c>
      <c r="D5" t="s">
        <v>234</v>
      </c>
      <c r="E5" t="s">
        <v>130</v>
      </c>
      <c r="F5" t="s">
        <v>235</v>
      </c>
      <c r="G5" t="s">
        <v>236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 s="44"/>
      <c r="AN5" s="44"/>
    </row>
    <row r="6" spans="1:40">
      <c r="A6" t="s">
        <v>173</v>
      </c>
      <c r="B6"/>
      <c r="C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 s="45"/>
      <c r="AN6" s="45"/>
    </row>
    <row r="7" spans="1:40">
      <c r="A7" t="s">
        <v>183</v>
      </c>
      <c r="B7"/>
      <c r="C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 s="44"/>
      <c r="AN7" s="44"/>
    </row>
    <row r="8" spans="1:40">
      <c r="A8" t="s">
        <v>184</v>
      </c>
      <c r="B8"/>
      <c r="C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 s="45"/>
      <c r="AN8" s="45"/>
    </row>
    <row r="9" spans="1:40">
      <c r="A9" t="s">
        <v>174</v>
      </c>
      <c r="B9"/>
      <c r="C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 s="44"/>
      <c r="AN9" s="44"/>
    </row>
    <row r="10" spans="1:40">
      <c r="A10" s="33" t="s">
        <v>175</v>
      </c>
      <c r="B10"/>
      <c r="C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 s="45"/>
      <c r="AN10" s="45"/>
    </row>
    <row r="11" spans="1:40">
      <c r="A11" t="s">
        <v>24</v>
      </c>
      <c r="B11"/>
      <c r="C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 s="44"/>
      <c r="AN11" s="44"/>
    </row>
    <row r="12" spans="1:40">
      <c r="A12" t="s">
        <v>25</v>
      </c>
      <c r="B12"/>
      <c r="C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 s="45"/>
      <c r="AN12" s="45"/>
    </row>
    <row r="13" spans="1:40">
      <c r="A13" t="s">
        <v>5</v>
      </c>
      <c r="B13" t="str">
        <f>C13&amp;", "&amp;D13&amp;", "&amp;E13&amp;", "&amp;F13&amp;", "&amp;G13&amp;", "&amp;H13</f>
        <v>Ceftiofur for Injection, EXCEDE, Excenel, Naxcel Sterile Powder, SPECTRAMAST DC, SPECTRAMAST LC</v>
      </c>
      <c r="C13" t="s">
        <v>237</v>
      </c>
      <c r="D13" t="s">
        <v>6</v>
      </c>
      <c r="E13" t="s">
        <v>238</v>
      </c>
      <c r="F13" t="s">
        <v>7</v>
      </c>
      <c r="G13" t="s">
        <v>132</v>
      </c>
      <c r="H13" t="s">
        <v>131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 s="44"/>
      <c r="AN13" s="44"/>
    </row>
    <row r="14" spans="1:40" ht="47" customHeight="1">
      <c r="A14" t="s">
        <v>176</v>
      </c>
      <c r="B14"/>
      <c r="C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 s="45"/>
      <c r="AN14" s="45"/>
    </row>
    <row r="15" spans="1:40" ht="47" customHeight="1">
      <c r="A15" t="s">
        <v>190</v>
      </c>
      <c r="B15"/>
      <c r="C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 s="44"/>
      <c r="AN15" s="44"/>
    </row>
    <row r="16" spans="1:40">
      <c r="A16" t="s">
        <v>26</v>
      </c>
      <c r="B16" t="str">
        <f>C16&amp;", "&amp;D16&amp;", "&amp;E16&amp;", "&amp;F16&amp;", "&amp;G16</f>
        <v>Cefa-Dri, Cefa-Lak, Today, Tomorrow, Tomorrow Infusion</v>
      </c>
      <c r="C16" t="s">
        <v>239</v>
      </c>
      <c r="D16" t="s">
        <v>240</v>
      </c>
      <c r="E16" t="s">
        <v>28</v>
      </c>
      <c r="F16" t="s">
        <v>241</v>
      </c>
      <c r="G16" t="s">
        <v>27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 s="45"/>
      <c r="AN16" s="45"/>
    </row>
    <row r="17" spans="1:40" s="21" customFormat="1">
      <c r="A17" t="s">
        <v>168</v>
      </c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 s="46"/>
      <c r="AN17" s="46"/>
    </row>
    <row r="18" spans="1:40" ht="88" customHeight="1">
      <c r="A18" t="s">
        <v>30</v>
      </c>
      <c r="B18" t="str">
        <f>C18&amp;", "&amp;D18&amp;", "&amp;E18&amp;", "&amp;F18&amp;", "&amp;G18&amp;", "&amp;H18&amp;", "&amp;I18&amp;", "&amp;J18&amp;", "&amp;K18&amp;", "&amp;L18&amp;", "&amp;M18&amp;", "&amp;N18&amp;", "&amp;O18&amp;", "&amp;P18&amp;", "&amp;Q18</f>
        <v>Aureo S 700, Aureomix, Aureomycin, Chloratet, ChlorMax, Chloromax, Chloronex, Chlortetracycline hydrochloride soluble powder, Chlortetracycline, CLTC, CTC Bisulfate Soluble Powder, Deracin, Fermycin Soluble, Pennchlor, PfiChlor</v>
      </c>
      <c r="C18" t="s">
        <v>242</v>
      </c>
      <c r="D18" t="s">
        <v>243</v>
      </c>
      <c r="E18" t="s">
        <v>244</v>
      </c>
      <c r="F18" t="s">
        <v>245</v>
      </c>
      <c r="G18" t="s">
        <v>246</v>
      </c>
      <c r="H18" t="s">
        <v>372</v>
      </c>
      <c r="I18" t="s">
        <v>247</v>
      </c>
      <c r="J18" t="s">
        <v>248</v>
      </c>
      <c r="K18" t="s">
        <v>30</v>
      </c>
      <c r="L18" t="s">
        <v>249</v>
      </c>
      <c r="M18" t="s">
        <v>250</v>
      </c>
      <c r="N18" t="s">
        <v>251</v>
      </c>
      <c r="O18" t="s">
        <v>252</v>
      </c>
      <c r="P18" t="s">
        <v>31</v>
      </c>
      <c r="Q18" t="s">
        <v>253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48"/>
      <c r="AN18" s="48"/>
    </row>
    <row r="19" spans="1:40" ht="88" customHeight="1">
      <c r="A19" t="s">
        <v>191</v>
      </c>
      <c r="B19"/>
      <c r="C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 s="44"/>
      <c r="AN19" s="44"/>
    </row>
    <row r="20" spans="1:40">
      <c r="A20" t="s">
        <v>34</v>
      </c>
      <c r="B20" t="str">
        <f>C20&amp;", "&amp;D20&amp;", "&amp;E20&amp;", "&amp;F20</f>
        <v>Boviclox, Dariclox, Dry-Clox, Orbenin DC</v>
      </c>
      <c r="C20" t="s">
        <v>254</v>
      </c>
      <c r="D20" t="s">
        <v>36</v>
      </c>
      <c r="E20" t="s">
        <v>35</v>
      </c>
      <c r="F20" t="s">
        <v>255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 s="45"/>
      <c r="AN20" s="45"/>
    </row>
    <row r="21" spans="1:40">
      <c r="A21" t="s">
        <v>192</v>
      </c>
      <c r="B21" t="str">
        <f>C21</f>
        <v>Advocin Sterile Injectable Solution</v>
      </c>
      <c r="C21" t="s">
        <v>256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 s="44"/>
      <c r="AN21" s="44"/>
    </row>
    <row r="22" spans="1:40">
      <c r="A22" t="s">
        <v>177</v>
      </c>
      <c r="B22"/>
      <c r="C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 s="45"/>
      <c r="AN22" s="45"/>
    </row>
    <row r="23" spans="1:40">
      <c r="A23" t="s">
        <v>208</v>
      </c>
      <c r="B23"/>
      <c r="C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 s="44"/>
      <c r="AN23" s="44"/>
    </row>
    <row r="24" spans="1:40">
      <c r="A24" t="s">
        <v>135</v>
      </c>
      <c r="B24" t="str">
        <f>C24&amp;", "&amp;D24&amp;", "&amp;E24&amp;", "&amp;F24</f>
        <v>Dihydrostreptomycin, Dry-Mast, Pfizer-Strep, Quartermaster Suspension</v>
      </c>
      <c r="C24" t="s">
        <v>135</v>
      </c>
      <c r="D24" t="s">
        <v>257</v>
      </c>
      <c r="E24" t="s">
        <v>258</v>
      </c>
      <c r="F24" t="s">
        <v>259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 s="45"/>
      <c r="AN24" s="45"/>
    </row>
    <row r="25" spans="1:40">
      <c r="A25" t="s">
        <v>189</v>
      </c>
      <c r="B25"/>
      <c r="C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 s="44"/>
      <c r="AN25" s="44"/>
    </row>
    <row r="26" spans="1:40">
      <c r="A26" t="s">
        <v>228</v>
      </c>
      <c r="B26" t="str">
        <f>C26&amp;", "&amp;D26</f>
        <v>Baytril 100, Enroflox 100</v>
      </c>
      <c r="C26" t="s">
        <v>38</v>
      </c>
      <c r="D26" t="s">
        <v>39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 s="45"/>
      <c r="AN26" s="45"/>
    </row>
    <row r="27" spans="1:40">
      <c r="A27" t="s">
        <v>53</v>
      </c>
      <c r="B27"/>
      <c r="C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 s="44"/>
      <c r="AN27" s="44"/>
    </row>
    <row r="28" spans="1:40">
      <c r="A28" t="s">
        <v>201</v>
      </c>
      <c r="B28" t="str">
        <f>C28&amp;", "&amp;D28&amp;", "&amp;E28</f>
        <v>Erythro, Erythromast 36, Gallimycin</v>
      </c>
      <c r="C28" t="s">
        <v>260</v>
      </c>
      <c r="D28" t="s">
        <v>261</v>
      </c>
      <c r="E28" t="s">
        <v>262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 s="45"/>
      <c r="AN28" s="45"/>
    </row>
    <row r="29" spans="1:40" s="21" customFormat="1">
      <c r="A29" t="s">
        <v>169</v>
      </c>
      <c r="B29" t="str">
        <f>C29&amp;", "&amp;D29&amp;", "&amp;E29&amp;", "&amp;F29&amp;", "&amp;G29</f>
        <v>Loncor 300, Norfenicol, Nuflor, NuflorGOLD, Resflor Gold</v>
      </c>
      <c r="C29" t="s">
        <v>263</v>
      </c>
      <c r="D29" t="s">
        <v>225</v>
      </c>
      <c r="E29" t="s">
        <v>264</v>
      </c>
      <c r="F29" t="s">
        <v>265</v>
      </c>
      <c r="G29" t="s">
        <v>266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 s="46"/>
      <c r="AN29" s="46"/>
    </row>
    <row r="30" spans="1:40" s="21" customFormat="1">
      <c r="A30" t="s">
        <v>193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 s="47"/>
      <c r="AN30" s="47"/>
    </row>
    <row r="31" spans="1:40">
      <c r="A31" t="s">
        <v>40</v>
      </c>
      <c r="B31" t="str">
        <f>C31&amp;", "&amp;D31&amp;", "&amp;E31&amp;", "&amp;F31&amp;", "&amp;G31&amp;", "&amp;H31&amp;", "&amp;I31&amp;", "&amp;J31&amp;", "&amp;K31</f>
        <v>Banamine, Flu-Nix, Flunazine, Flunixin Injection, Flunixin Meglumine Injection, Hexasol Injection, Prevail, Resflor Gold, VetaMeg</v>
      </c>
      <c r="C31" t="s">
        <v>41</v>
      </c>
      <c r="D31" t="s">
        <v>267</v>
      </c>
      <c r="E31" t="s">
        <v>42</v>
      </c>
      <c r="F31" t="s">
        <v>43</v>
      </c>
      <c r="G31" t="s">
        <v>268</v>
      </c>
      <c r="H31" t="s">
        <v>269</v>
      </c>
      <c r="I31" t="s">
        <v>44</v>
      </c>
      <c r="J31" t="s">
        <v>266</v>
      </c>
      <c r="K31" t="s">
        <v>45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 s="44"/>
      <c r="AN31" s="44"/>
    </row>
    <row r="32" spans="1:40">
      <c r="A32" t="s">
        <v>229</v>
      </c>
      <c r="B32" t="str">
        <f>C32</f>
        <v>Gentocin Pink Eye Spray</v>
      </c>
      <c r="C32" t="s">
        <v>270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 s="45"/>
      <c r="AN32" s="45"/>
    </row>
    <row r="33" spans="1:40">
      <c r="A33" t="s">
        <v>46</v>
      </c>
      <c r="B33" t="str">
        <f>C33&amp;", "&amp;D33</f>
        <v>Hetacin K, PolyMast Intramammary Infusion</v>
      </c>
      <c r="C33" t="s">
        <v>226</v>
      </c>
      <c r="D33" t="s">
        <v>271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 s="44"/>
      <c r="AN33" s="44"/>
    </row>
    <row r="34" spans="1:40">
      <c r="A34" t="s">
        <v>206</v>
      </c>
      <c r="B34"/>
      <c r="C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 s="45"/>
      <c r="AN34" s="45"/>
    </row>
    <row r="35" spans="1:40">
      <c r="A35" t="s">
        <v>202</v>
      </c>
      <c r="B35"/>
      <c r="C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 s="44"/>
      <c r="AN35" s="44"/>
    </row>
    <row r="36" spans="1:40">
      <c r="A36" t="s">
        <v>194</v>
      </c>
      <c r="B36"/>
      <c r="C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 s="45"/>
      <c r="AN36" s="45"/>
    </row>
    <row r="37" spans="1:40">
      <c r="A37" t="s">
        <v>195</v>
      </c>
      <c r="B37"/>
      <c r="C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 s="44"/>
      <c r="AN37" s="44"/>
    </row>
    <row r="38" spans="1:40">
      <c r="A38" t="s">
        <v>185</v>
      </c>
      <c r="B38"/>
      <c r="C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 s="45"/>
      <c r="AN38" s="45"/>
    </row>
    <row r="39" spans="1:40">
      <c r="A39" t="s">
        <v>196</v>
      </c>
      <c r="B39"/>
      <c r="C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 s="44"/>
      <c r="AN39" s="44"/>
    </row>
    <row r="40" spans="1:40">
      <c r="A40" t="s">
        <v>136</v>
      </c>
      <c r="B40" t="str">
        <f>C40&amp;", "&amp;D40&amp;", "&amp;E40&amp;", "&amp;F40&amp;", "&amp;G40&amp;", "&amp;H40&amp;", "&amp;I40&amp;", "&amp;J40&amp;", "&amp;K40&amp;", "&amp;L40&amp;", "&amp;M40&amp;", "&amp;N40&amp;", "&amp;O40&amp;", "&amp;P40</f>
        <v>Biosol Liquid, Neo 200 Oral Solution, Neo Predef Sterile Ointment, Neo-Oxy, Neo-Sol 50, Neo-Terramycin, NeoMed 325 Soluble Powder, NeoMed Soluble Powder, Neomix 325, Neomix Ag 325, Neomycin, Neomycin Sulfate, Neosol Soluble Powder, Neosol-Oral</v>
      </c>
      <c r="C40" t="s">
        <v>137</v>
      </c>
      <c r="D40" t="s">
        <v>272</v>
      </c>
      <c r="E40" t="s">
        <v>273</v>
      </c>
      <c r="F40" t="s">
        <v>274</v>
      </c>
      <c r="G40" t="s">
        <v>138</v>
      </c>
      <c r="H40" t="s">
        <v>275</v>
      </c>
      <c r="I40" t="s">
        <v>139</v>
      </c>
      <c r="J40" t="s">
        <v>276</v>
      </c>
      <c r="K40" t="s">
        <v>140</v>
      </c>
      <c r="L40" t="s">
        <v>141</v>
      </c>
      <c r="M40" t="s">
        <v>136</v>
      </c>
      <c r="N40" t="s">
        <v>277</v>
      </c>
      <c r="O40" t="s">
        <v>278</v>
      </c>
      <c r="P40" t="s">
        <v>279</v>
      </c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 s="45"/>
      <c r="AN40" s="45"/>
    </row>
    <row r="41" spans="1:40">
      <c r="A41" t="s">
        <v>198</v>
      </c>
      <c r="B41"/>
      <c r="C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 s="44"/>
      <c r="AN41" s="44"/>
    </row>
    <row r="42" spans="1:40">
      <c r="A42" t="s">
        <v>209</v>
      </c>
      <c r="B42"/>
      <c r="C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 s="45"/>
      <c r="AN42" s="45"/>
    </row>
    <row r="43" spans="1:40">
      <c r="A43" t="s">
        <v>197</v>
      </c>
      <c r="B43"/>
      <c r="C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 s="44"/>
      <c r="AN43" s="44"/>
    </row>
    <row r="44" spans="1:40">
      <c r="A44" t="s">
        <v>200</v>
      </c>
      <c r="B44"/>
      <c r="C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 s="45"/>
      <c r="AN44" s="45"/>
    </row>
    <row r="45" spans="1:40" ht="145" customHeight="1">
      <c r="A45" t="s">
        <v>178</v>
      </c>
      <c r="B45"/>
      <c r="C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 s="44"/>
      <c r="AN45" s="44"/>
    </row>
    <row r="46" spans="1:40" ht="145" customHeight="1">
      <c r="A46" s="33" t="s">
        <v>477</v>
      </c>
      <c r="B46"/>
      <c r="C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 s="44"/>
      <c r="AN46" s="44"/>
    </row>
    <row r="47" spans="1:40" ht="33" customHeight="1">
      <c r="A47" t="s">
        <v>47</v>
      </c>
      <c r="B47" t="str">
        <f>C47&amp;", "&amp;D47&amp;", "&amp;E47&amp;", "&amp;F47&amp;", "&amp;G47&amp;", "&amp;H47&amp;", "&amp;I47&amp;", "&amp;J47&amp;", "&amp;K47&amp;", "&amp;L47&amp;", "&amp;M47&amp;", "&amp;N47&amp;", "&amp;O47&amp;", "&amp;P47&amp;", "&amp;Q47&amp;", "&amp;R47&amp;", "&amp;S47&amp;", "&amp;T47&amp;", "&amp;U47&amp;", "&amp;V47&amp;", "&amp;W47&amp;", "&amp;X47&amp;", "&amp;Y47&amp;", "&amp;Z47&amp;", "&amp;AA47&amp;", "&amp;AB47&amp;", "&amp;AC47&amp;", "&amp;AD47&amp;", "&amp;AE47&amp;", "&amp;AF47&amp;", "&amp;AG47&amp;", "&amp;AH47&amp;", "&amp;AI47&amp;", "&amp;AJ47&amp;", "&amp;AK47&amp;", "&amp;AL47</f>
        <v>300 PRO LA, Agrimycin 200, Aquachel-100, Bio-Mycin, BOVATEC and TM, Compudose, Duramycin, Encore, Geomycin 200, Geomycin 200, Hexasol Injection, Hexasol Injection, Liquamycin, Maxim-200 Injection, Medamycin Injectable, MGA and TM, Neo-Oxy, Neo-Terramycin, Noromycin 300 LA, Oxy Calf Bolus, Oxy-Tet, Oxyject, Oxyshot LA, Oxytetracycline Hydrochloride Injection, Oxytetracycline Injection 200, Oxytetracycline-50, Oxyvet-100, Pennox, Rachelle Oxyvet Injection, Terra-Vet, Terramycin, TETRADURE 300, Tetroxy, TM-100, TM-50, Vetrimycin</v>
      </c>
      <c r="C47" t="s">
        <v>48</v>
      </c>
      <c r="D47" t="s">
        <v>280</v>
      </c>
      <c r="E47" t="s">
        <v>281</v>
      </c>
      <c r="F47" t="s">
        <v>282</v>
      </c>
      <c r="G47" t="s">
        <v>283</v>
      </c>
      <c r="H47" t="s">
        <v>284</v>
      </c>
      <c r="I47" t="s">
        <v>285</v>
      </c>
      <c r="J47" t="s">
        <v>286</v>
      </c>
      <c r="K47" t="s">
        <v>287</v>
      </c>
      <c r="L47" t="s">
        <v>287</v>
      </c>
      <c r="M47" t="s">
        <v>269</v>
      </c>
      <c r="N47" t="s">
        <v>269</v>
      </c>
      <c r="O47" t="s">
        <v>288</v>
      </c>
      <c r="P47" t="s">
        <v>289</v>
      </c>
      <c r="Q47" t="s">
        <v>290</v>
      </c>
      <c r="R47" t="s">
        <v>291</v>
      </c>
      <c r="S47" t="s">
        <v>274</v>
      </c>
      <c r="T47" t="s">
        <v>275</v>
      </c>
      <c r="U47" t="s">
        <v>49</v>
      </c>
      <c r="V47" t="s">
        <v>292</v>
      </c>
      <c r="W47" t="s">
        <v>293</v>
      </c>
      <c r="X47" t="s">
        <v>294</v>
      </c>
      <c r="Y47" t="s">
        <v>373</v>
      </c>
      <c r="Z47" t="s">
        <v>295</v>
      </c>
      <c r="AA47" t="s">
        <v>296</v>
      </c>
      <c r="AB47" t="s">
        <v>297</v>
      </c>
      <c r="AC47" t="s">
        <v>298</v>
      </c>
      <c r="AD47" t="s">
        <v>299</v>
      </c>
      <c r="AE47" t="s">
        <v>300</v>
      </c>
      <c r="AF47" t="s">
        <v>301</v>
      </c>
      <c r="AG47" t="s">
        <v>302</v>
      </c>
      <c r="AH47" t="s">
        <v>374</v>
      </c>
      <c r="AI47" t="s">
        <v>375</v>
      </c>
      <c r="AJ47" t="s">
        <v>376</v>
      </c>
      <c r="AK47" t="s">
        <v>377</v>
      </c>
      <c r="AL47" t="s">
        <v>378</v>
      </c>
      <c r="AM47" s="47"/>
      <c r="AN47" s="47"/>
    </row>
    <row r="48" spans="1:40" ht="30" customHeight="1">
      <c r="A48" t="s">
        <v>199</v>
      </c>
      <c r="B48"/>
      <c r="C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 s="44"/>
      <c r="AN48" s="44"/>
    </row>
    <row r="49" spans="1:40" ht="75" customHeight="1">
      <c r="A49" t="s">
        <v>16</v>
      </c>
      <c r="B49" t="str">
        <f>C49&amp;", "&amp;D49&amp;", "&amp;E49&amp;", "&amp;F49&amp;", "&amp;G49&amp;", "&amp;H49&amp;", "&amp;I49&amp;", "&amp;J49&amp;", "&amp;K49&amp;", "&amp;L49&amp;", "&amp;M49&amp;", "&amp;N49&amp;", "&amp;O49&amp;", "&amp;P49&amp;", "&amp;Q49&amp;", "&amp;R49&amp;", "&amp;S49&amp;", "&amp;T49&amp;", "&amp;U49&amp;", "&amp;V49&amp;", "&amp;W49&amp;", "&amp;X49&amp;", "&amp;Y49&amp;", "&amp;Z49&amp;", "&amp;AA49</f>
        <v>Agricillin, Albacillin Suspension, Albadry Plus Suspension, Bactracillin G, Benza-Pen, Bicillin Fortified, Combi-Pen -48, Crysticillin, Dry-Mast, Flo-cillin Dura-biotic, Formula A-34 Uni Biotic 4 Dose, Hanaford's/US Vet MASTICLEAR, Hanfords Four-Pen Aqua-Mast, Longicil Fortified, Masti-Clear Go-Dry, Norocillin, Pen BP-48 Dual-Cillin, PEN-G-MAX, Penicillin G Procaine Aqueous Suspension Jetpen, Penicillin Injectable, PenOne Pro, Pro-Pen-G, Quartermaster Suspension, Special Formula 17900-Forte Suspension , Tandem Pen</v>
      </c>
      <c r="C49" t="s">
        <v>303</v>
      </c>
      <c r="D49" t="s">
        <v>304</v>
      </c>
      <c r="E49" t="s">
        <v>305</v>
      </c>
      <c r="F49" t="s">
        <v>18</v>
      </c>
      <c r="G49" t="s">
        <v>306</v>
      </c>
      <c r="H49" t="s">
        <v>307</v>
      </c>
      <c r="I49" t="s">
        <v>17</v>
      </c>
      <c r="J49" t="s">
        <v>308</v>
      </c>
      <c r="K49" t="s">
        <v>257</v>
      </c>
      <c r="L49" t="s">
        <v>309</v>
      </c>
      <c r="M49" t="s">
        <v>310</v>
      </c>
      <c r="N49" t="s">
        <v>311</v>
      </c>
      <c r="O49" t="s">
        <v>312</v>
      </c>
      <c r="P49" t="s">
        <v>313</v>
      </c>
      <c r="Q49" t="s">
        <v>314</v>
      </c>
      <c r="R49" t="s">
        <v>19</v>
      </c>
      <c r="S49" t="s">
        <v>315</v>
      </c>
      <c r="T49" t="s">
        <v>316</v>
      </c>
      <c r="U49" t="s">
        <v>317</v>
      </c>
      <c r="V49" t="s">
        <v>20</v>
      </c>
      <c r="W49" t="s">
        <v>21</v>
      </c>
      <c r="X49" t="s">
        <v>318</v>
      </c>
      <c r="Y49" t="s">
        <v>259</v>
      </c>
      <c r="Z49" t="s">
        <v>319</v>
      </c>
      <c r="AA49" t="s">
        <v>320</v>
      </c>
      <c r="AB49"/>
      <c r="AC49"/>
      <c r="AD49"/>
      <c r="AE49"/>
      <c r="AF49"/>
      <c r="AG49"/>
      <c r="AH49"/>
      <c r="AI49"/>
      <c r="AJ49"/>
      <c r="AK49"/>
      <c r="AL49"/>
      <c r="AM49" s="45"/>
      <c r="AN49" s="45"/>
    </row>
    <row r="50" spans="1:40">
      <c r="A50" t="s">
        <v>50</v>
      </c>
      <c r="B50" t="str">
        <f>C50</f>
        <v>Pirsue Sterile Solution</v>
      </c>
      <c r="C50" t="s">
        <v>51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 s="44"/>
      <c r="AN50" s="44"/>
    </row>
    <row r="51" spans="1:40">
      <c r="A51" t="s">
        <v>210</v>
      </c>
      <c r="B51"/>
      <c r="C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 s="45"/>
      <c r="AN51" s="45"/>
    </row>
    <row r="52" spans="1:40">
      <c r="A52" t="s">
        <v>207</v>
      </c>
      <c r="B52" t="str">
        <f>C52</f>
        <v>Adspec Sterile Solution</v>
      </c>
      <c r="C52" t="s">
        <v>321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 s="44"/>
      <c r="AN52" s="44"/>
    </row>
    <row r="53" spans="1:40">
      <c r="A53" t="s">
        <v>203</v>
      </c>
      <c r="B53"/>
      <c r="C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 s="45"/>
      <c r="AN53" s="45"/>
    </row>
    <row r="54" spans="1:40" customFormat="1">
      <c r="A54" t="s">
        <v>158</v>
      </c>
      <c r="B54" t="str">
        <f>C54&amp;", "&amp;D54</f>
        <v>Strep Sol, Streptomycin Oral Solution</v>
      </c>
      <c r="C54" t="s">
        <v>322</v>
      </c>
      <c r="D54" t="s">
        <v>323</v>
      </c>
      <c r="AM54" s="46"/>
      <c r="AN54" s="46"/>
    </row>
    <row r="55" spans="1:40" customFormat="1">
      <c r="A55" t="s">
        <v>211</v>
      </c>
      <c r="AM55" s="47"/>
      <c r="AN55" s="47"/>
    </row>
    <row r="56" spans="1:40" customFormat="1">
      <c r="A56" t="s">
        <v>159</v>
      </c>
      <c r="AM56" s="46"/>
      <c r="AN56" s="46"/>
    </row>
    <row r="57" spans="1:40">
      <c r="A57" t="s">
        <v>54</v>
      </c>
      <c r="B57" t="str">
        <f>C57&amp;", "&amp;D57&amp;", "&amp;E57</f>
        <v>Prinzone, Pyradan, Vetisulid</v>
      </c>
      <c r="C57" t="s">
        <v>324</v>
      </c>
      <c r="D57" t="s">
        <v>325</v>
      </c>
      <c r="E57" t="s">
        <v>326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 s="45"/>
      <c r="AN57" s="45"/>
    </row>
    <row r="58" spans="1:40">
      <c r="A58" t="s">
        <v>56</v>
      </c>
      <c r="B58"/>
      <c r="C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 s="44"/>
      <c r="AN58" s="44"/>
    </row>
    <row r="59" spans="1:40">
      <c r="A59" t="s">
        <v>160</v>
      </c>
      <c r="B59"/>
      <c r="C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 s="45"/>
      <c r="AN59" s="45"/>
    </row>
    <row r="60" spans="1:40" ht="109" customHeight="1">
      <c r="A60" t="s">
        <v>57</v>
      </c>
      <c r="B60" t="str">
        <f>C60&amp;", "&amp;D60&amp;", "&amp;E60&amp;", "&amp;F60&amp;", "&amp;G60&amp;", "&amp;H60&amp;", "&amp;I60</f>
        <v>Agribon, Albon, Di-Methox, SDM Sulfadimethoxine Concentrated Solution 12.5%, Sulfadimethoxine, SulfaMed, Sulforal</v>
      </c>
      <c r="C60" t="s">
        <v>327</v>
      </c>
      <c r="D60" t="s">
        <v>328</v>
      </c>
      <c r="E60" t="s">
        <v>329</v>
      </c>
      <c r="F60" t="s">
        <v>330</v>
      </c>
      <c r="G60" t="s">
        <v>57</v>
      </c>
      <c r="H60" t="s">
        <v>331</v>
      </c>
      <c r="I60" t="s">
        <v>332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 s="44"/>
      <c r="AN60" s="44"/>
    </row>
    <row r="61" spans="1:40" ht="29" customHeight="1">
      <c r="A61" t="s">
        <v>227</v>
      </c>
      <c r="B61"/>
      <c r="C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 s="45"/>
      <c r="AN61" s="45"/>
    </row>
    <row r="62" spans="1:40">
      <c r="A62" t="s">
        <v>58</v>
      </c>
      <c r="B62"/>
      <c r="C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 s="44"/>
      <c r="AN62" s="44"/>
    </row>
    <row r="63" spans="1:40">
      <c r="A63" t="s">
        <v>161</v>
      </c>
      <c r="B63" t="str">
        <f>C63</f>
        <v>S.E.Z.</v>
      </c>
      <c r="C63" t="s">
        <v>333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 s="45"/>
      <c r="AN63" s="45"/>
    </row>
    <row r="64" spans="1:40">
      <c r="A64" t="s">
        <v>212</v>
      </c>
      <c r="B64"/>
      <c r="C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 s="44"/>
      <c r="AN64" s="44"/>
    </row>
    <row r="65" spans="1:40">
      <c r="A65" t="s">
        <v>59</v>
      </c>
      <c r="B65"/>
      <c r="C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 s="45"/>
      <c r="AN65" s="45"/>
    </row>
    <row r="66" spans="1:40" ht="76" customHeight="1">
      <c r="A66" t="s">
        <v>60</v>
      </c>
      <c r="B66" t="str">
        <f>C66&amp;", "&amp;D66&amp;", "&amp;E66&amp;", "&amp;F66&amp;", "&amp;G66&amp;", "&amp;H66&amp;", "&amp;I66&amp;", "&amp;J66&amp;", "&amp;K66&amp;", "&amp;L66&amp;", "&amp;M66&amp;", "&amp;N66&amp;", "&amp;O66&amp;", "&amp;P66</f>
        <v>Aureo S 700, Aureomix 700, Calfspan, HavaSpan Prolonged Release Bolus, Pennchlor S, Purina Sulfa, SMZ-Med, Sulfamethazine Spanbolet II, Sulfamethazine Sustained Release Bolus, SulfaSpan Prolonged Release Bolus , Sulka-S Bolus, Sulmet, Sustain III, Veta-Meth</v>
      </c>
      <c r="C66" t="s">
        <v>242</v>
      </c>
      <c r="D66" t="s">
        <v>334</v>
      </c>
      <c r="E66" t="s">
        <v>335</v>
      </c>
      <c r="F66" t="s">
        <v>336</v>
      </c>
      <c r="G66" t="s">
        <v>337</v>
      </c>
      <c r="H66" t="s">
        <v>338</v>
      </c>
      <c r="I66" t="s">
        <v>61</v>
      </c>
      <c r="J66" t="s">
        <v>339</v>
      </c>
      <c r="K66" t="s">
        <v>340</v>
      </c>
      <c r="L66" t="s">
        <v>341</v>
      </c>
      <c r="M66" t="s">
        <v>342</v>
      </c>
      <c r="N66" t="s">
        <v>343</v>
      </c>
      <c r="O66" t="s">
        <v>344</v>
      </c>
      <c r="P66" t="s">
        <v>345</v>
      </c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 s="44"/>
      <c r="AN66" s="44"/>
    </row>
    <row r="67" spans="1:40">
      <c r="A67" t="s">
        <v>62</v>
      </c>
      <c r="B67"/>
      <c r="C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 s="45"/>
      <c r="AN67" s="45"/>
    </row>
    <row r="68" spans="1:40">
      <c r="A68" t="s">
        <v>162</v>
      </c>
      <c r="B68"/>
      <c r="C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 s="44"/>
      <c r="AN68" s="44"/>
    </row>
    <row r="69" spans="1:40">
      <c r="A69" t="s">
        <v>163</v>
      </c>
      <c r="B69"/>
      <c r="C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 s="45"/>
      <c r="AN69" s="45"/>
    </row>
    <row r="70" spans="1:40">
      <c r="A70" t="s">
        <v>63</v>
      </c>
      <c r="B70"/>
      <c r="C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 s="44"/>
      <c r="AN70" s="44"/>
    </row>
    <row r="71" spans="1:40" ht="59" customHeight="1">
      <c r="A71" t="s">
        <v>64</v>
      </c>
      <c r="B71" t="str">
        <f>C71</f>
        <v>Liquid Sul-Q-Nox</v>
      </c>
      <c r="C71" t="s">
        <v>65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 s="45"/>
      <c r="AN71" s="45"/>
    </row>
    <row r="72" spans="1:40">
      <c r="A72" t="s">
        <v>67</v>
      </c>
      <c r="B72"/>
      <c r="C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 s="44"/>
      <c r="AN72" s="44"/>
    </row>
    <row r="73" spans="1:40">
      <c r="A73" t="s">
        <v>66</v>
      </c>
      <c r="B73"/>
      <c r="C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 s="45"/>
      <c r="AN73" s="45"/>
    </row>
    <row r="74" spans="1:40">
      <c r="A74" t="s">
        <v>164</v>
      </c>
      <c r="B74"/>
      <c r="C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 s="44"/>
      <c r="AN74" s="44"/>
    </row>
    <row r="75" spans="1:40" ht="42" customHeight="1">
      <c r="A75" t="s">
        <v>68</v>
      </c>
      <c r="B75" t="str">
        <f>C75&amp;", "&amp;D75&amp;", "&amp;E75&amp;", "&amp;F75&amp;", "&amp;G75&amp;", "&amp;H75&amp;", "&amp;I75&amp;", "&amp;J75&amp;", "&amp;K75&amp;", "&amp;L75&amp;", "&amp;M75</f>
        <v>Panmycin, Polyotic, Tet-Sol, Tetra-Bac 324, Tetra-Sal, Tetracycline, Tetracycline Hydrochloride Soluble Powder-324, Tetracycline HCL Powder, TetraMed, Tetrasol Soluble Powder, TetraSure 324</v>
      </c>
      <c r="C75" t="s">
        <v>346</v>
      </c>
      <c r="D75" t="s">
        <v>347</v>
      </c>
      <c r="E75" t="s">
        <v>348</v>
      </c>
      <c r="F75" t="s">
        <v>69</v>
      </c>
      <c r="G75" t="s">
        <v>349</v>
      </c>
      <c r="H75" t="s">
        <v>68</v>
      </c>
      <c r="I75" t="s">
        <v>350</v>
      </c>
      <c r="J75" t="s">
        <v>351</v>
      </c>
      <c r="K75" t="s">
        <v>352</v>
      </c>
      <c r="L75" t="s">
        <v>353</v>
      </c>
      <c r="M75" t="s">
        <v>354</v>
      </c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 s="45"/>
      <c r="AN75" s="45"/>
    </row>
    <row r="76" spans="1:40" customFormat="1">
      <c r="A76" t="s">
        <v>170</v>
      </c>
      <c r="AM76" s="46"/>
      <c r="AN76" s="46"/>
    </row>
    <row r="77" spans="1:40">
      <c r="A77" t="s">
        <v>186</v>
      </c>
      <c r="B77"/>
      <c r="C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 s="45"/>
      <c r="AN77" s="45"/>
    </row>
    <row r="78" spans="1:40">
      <c r="A78" t="s">
        <v>204</v>
      </c>
      <c r="B78" t="str">
        <f>C78&amp;", "&amp;D78&amp;", "&amp;E78</f>
        <v>Micotil, Pulmotil, Tilmovet</v>
      </c>
      <c r="C78" t="s">
        <v>355</v>
      </c>
      <c r="D78" t="s">
        <v>356</v>
      </c>
      <c r="E78" t="s">
        <v>357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 s="44"/>
      <c r="AN78" s="44"/>
    </row>
    <row r="79" spans="1:40">
      <c r="A79" t="s">
        <v>205</v>
      </c>
      <c r="B79" t="str">
        <f>C79&amp;", "&amp;D79&amp;", "&amp;E79&amp;", "&amp;F79&amp;", "&amp;G79&amp;", "&amp;H79&amp;", "&amp;I79&amp;", "&amp;J79&amp;", "&amp;K79&amp;", "&amp;L79&amp;", "&amp;M79&amp;", "&amp;N79&amp;", "&amp;O79&amp;", "&amp;P79&amp;", "&amp;Q79</f>
        <v>BiloVet, Component T- with Tylan, Component E with Tylan, Component TE- with Tylan, Gilt Edge Tylan Mix, Good-Life Tylan 10 Premix, Hy-Con Tylan Premix, McNess Custom Premix L200, Purina Hog Plus II, Quali-Tech Tylan-10 Premix, Seeco Inc T-10 Premix, Tylan, Tylosin, Tylovet, Waynextra For Swine</v>
      </c>
      <c r="C79" t="s">
        <v>358</v>
      </c>
      <c r="D79" t="s">
        <v>359</v>
      </c>
      <c r="E79" t="s">
        <v>360</v>
      </c>
      <c r="F79" t="s">
        <v>361</v>
      </c>
      <c r="G79" t="s">
        <v>362</v>
      </c>
      <c r="H79" t="s">
        <v>363</v>
      </c>
      <c r="I79" t="s">
        <v>364</v>
      </c>
      <c r="J79" t="s">
        <v>365</v>
      </c>
      <c r="K79" t="s">
        <v>366</v>
      </c>
      <c r="L79" t="s">
        <v>367</v>
      </c>
      <c r="M79" t="s">
        <v>368</v>
      </c>
      <c r="N79" t="s">
        <v>369</v>
      </c>
      <c r="O79" t="s">
        <v>205</v>
      </c>
      <c r="P79" t="s">
        <v>370</v>
      </c>
      <c r="Q79" t="s">
        <v>371</v>
      </c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 s="49"/>
      <c r="AN79" s="45"/>
    </row>
    <row r="80" spans="1:40">
      <c r="A80" s="48"/>
      <c r="B80" s="44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</row>
    <row r="81" spans="1:40">
      <c r="A81" s="48"/>
      <c r="B81" s="44"/>
      <c r="C81" s="48"/>
      <c r="D81" s="20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</row>
    <row r="82" spans="1:40">
      <c r="A82" s="48"/>
      <c r="B82" s="44"/>
      <c r="C82" s="48"/>
      <c r="D82" s="20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</row>
    <row r="83" spans="1:40">
      <c r="A83" s="48"/>
      <c r="B83" s="44"/>
      <c r="C83" s="48"/>
      <c r="D83" s="20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</row>
    <row r="84" spans="1:40">
      <c r="A84" s="48"/>
      <c r="B84" s="44"/>
      <c r="C84" s="48"/>
      <c r="D84" s="20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</row>
    <row r="85" spans="1:40">
      <c r="A85" s="48"/>
      <c r="B85" s="44"/>
      <c r="C85" s="48"/>
      <c r="D85" s="20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</row>
    <row r="86" spans="1:40">
      <c r="E86" s="5"/>
      <c r="F86" s="5"/>
      <c r="O86" s="5"/>
    </row>
    <row r="87" spans="1:40">
      <c r="E87" s="5"/>
      <c r="F87" s="5"/>
    </row>
    <row r="88" spans="1:40">
      <c r="E88" s="5"/>
      <c r="F88" s="5"/>
    </row>
    <row r="89" spans="1:40">
      <c r="E89" s="5"/>
      <c r="F89" s="5"/>
    </row>
    <row r="91" spans="1:40">
      <c r="E91" s="5"/>
      <c r="F91" s="5"/>
    </row>
    <row r="92" spans="1:40">
      <c r="E92" s="5"/>
      <c r="F92" s="5"/>
    </row>
    <row r="93" spans="1:40">
      <c r="E93" s="5"/>
      <c r="F93" s="5"/>
    </row>
    <row r="94" spans="1:40">
      <c r="E94" s="5"/>
      <c r="F94" s="5"/>
    </row>
    <row r="95" spans="1:40">
      <c r="E95" s="5"/>
      <c r="F95" s="5"/>
      <c r="S95" s="3"/>
      <c r="T95" s="3"/>
    </row>
    <row r="96" spans="1:40">
      <c r="E96" s="5"/>
      <c r="F96" s="5"/>
      <c r="S96" s="3"/>
      <c r="T96" s="3"/>
    </row>
    <row r="97" spans="5:15">
      <c r="E97" s="5"/>
      <c r="F97" s="5"/>
    </row>
    <row r="98" spans="5:15">
      <c r="E98" s="5"/>
      <c r="F98" s="5"/>
    </row>
    <row r="99" spans="5:15">
      <c r="E99" s="5"/>
      <c r="F99" s="5"/>
    </row>
    <row r="100" spans="5:15">
      <c r="E100" s="5"/>
      <c r="F100" s="5"/>
    </row>
    <row r="101" spans="5:15">
      <c r="E101" s="5"/>
      <c r="F101" s="5"/>
    </row>
    <row r="102" spans="5:15">
      <c r="E102" s="5"/>
      <c r="F102" s="5"/>
    </row>
    <row r="103" spans="5:15">
      <c r="E103" s="5"/>
      <c r="F103" s="5"/>
      <c r="O103" s="5"/>
    </row>
    <row r="105" spans="5:15">
      <c r="E105" s="5"/>
      <c r="F105" s="5"/>
      <c r="O105" s="5"/>
    </row>
    <row r="106" spans="5:15">
      <c r="E106" s="5"/>
      <c r="F106" s="5"/>
      <c r="O106" s="5"/>
    </row>
    <row r="107" spans="5:15">
      <c r="E107" s="5"/>
      <c r="F107" s="5"/>
      <c r="O107" s="5"/>
    </row>
    <row r="108" spans="5:15">
      <c r="E108" s="5"/>
      <c r="F108" s="5"/>
      <c r="O108" s="5"/>
    </row>
    <row r="109" spans="5:15">
      <c r="E109" s="5"/>
      <c r="F109" s="5"/>
      <c r="O109" s="5"/>
    </row>
    <row r="110" spans="5:15">
      <c r="E110" s="5"/>
      <c r="F110" s="5"/>
      <c r="O110" s="5"/>
    </row>
    <row r="111" spans="5:15">
      <c r="E111" s="5"/>
      <c r="F111" s="5"/>
      <c r="O111" s="5"/>
    </row>
    <row r="112" spans="5:15">
      <c r="E112" s="5"/>
      <c r="F112" s="5"/>
      <c r="O112" s="5"/>
    </row>
    <row r="113" spans="5:15">
      <c r="E113" s="5"/>
      <c r="F113" s="5"/>
      <c r="O113" s="5"/>
    </row>
    <row r="114" spans="5:15">
      <c r="E114" s="5"/>
      <c r="F114" s="5"/>
      <c r="O114" s="5"/>
    </row>
    <row r="117" spans="5:15">
      <c r="E117" s="5"/>
      <c r="F117" s="5"/>
      <c r="O117" s="5"/>
    </row>
    <row r="118" spans="5:15">
      <c r="E118" s="5"/>
      <c r="F118" s="5"/>
      <c r="O118" s="5"/>
    </row>
    <row r="119" spans="5:15">
      <c r="E119" s="5"/>
      <c r="F119" s="5"/>
      <c r="O119" s="5"/>
    </row>
    <row r="120" spans="5:15">
      <c r="E120" s="5"/>
      <c r="F120" s="5"/>
      <c r="O120" s="5"/>
    </row>
    <row r="121" spans="5:15">
      <c r="E121" s="5"/>
      <c r="F121" s="5"/>
      <c r="O121" s="5"/>
    </row>
    <row r="122" spans="5:15">
      <c r="E122" s="5"/>
      <c r="F122" s="5"/>
      <c r="O122" s="5"/>
    </row>
    <row r="123" spans="5:15">
      <c r="E123" s="5"/>
      <c r="F123" s="5"/>
      <c r="O123" s="5"/>
    </row>
    <row r="124" spans="5:15">
      <c r="E124" s="5"/>
      <c r="F124" s="5"/>
      <c r="O124" s="5"/>
    </row>
    <row r="125" spans="5:15">
      <c r="E125" s="5"/>
      <c r="F125" s="5"/>
      <c r="O125" s="5"/>
    </row>
  </sheetData>
  <customSheetViews>
    <customSheetView guid="{21483412-A8AF-444E-A677-2FA27F9C6D8D}" scale="120" topLeftCell="M1">
      <selection activeCell="D3" sqref="D3"/>
      <pageMargins left="0.7" right="0.7" top="0.75" bottom="0.75" header="0.3" footer="0.3"/>
    </customSheetView>
  </customSheetView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2"/>
  <sheetViews>
    <sheetView workbookViewId="0">
      <pane ySplit="1" topLeftCell="A2" activePane="bottomLeft" state="frozen"/>
      <selection pane="bottomLeft" activeCell="P10" sqref="P10"/>
    </sheetView>
  </sheetViews>
  <sheetFormatPr baseColWidth="10" defaultRowHeight="15"/>
  <cols>
    <col min="1" max="1" width="21" customWidth="1"/>
    <col min="2" max="2" width="21.6640625" style="6" customWidth="1"/>
    <col min="3" max="4" width="10.83203125" style="6"/>
    <col min="5" max="5" width="16.1640625" style="6" customWidth="1"/>
    <col min="6" max="6" width="10.83203125" style="27"/>
    <col min="9" max="10" width="10.83203125" style="6"/>
    <col min="11" max="11" width="24" style="6" customWidth="1"/>
    <col min="12" max="12" width="15.5" style="6" customWidth="1"/>
    <col min="13" max="13" width="12.6640625" style="6" customWidth="1"/>
  </cols>
  <sheetData>
    <row r="1" spans="1:18">
      <c r="A1" t="s">
        <v>84</v>
      </c>
      <c r="B1" t="s">
        <v>83</v>
      </c>
      <c r="C1" t="s">
        <v>2</v>
      </c>
      <c r="D1" t="s">
        <v>402</v>
      </c>
      <c r="E1" t="s">
        <v>144</v>
      </c>
      <c r="F1" t="s">
        <v>87</v>
      </c>
      <c r="G1" t="s">
        <v>88</v>
      </c>
      <c r="H1" t="s">
        <v>86</v>
      </c>
      <c r="I1" t="s">
        <v>129</v>
      </c>
      <c r="J1" t="s">
        <v>155</v>
      </c>
      <c r="K1" t="s">
        <v>156</v>
      </c>
      <c r="L1" t="s">
        <v>166</v>
      </c>
      <c r="M1" t="s">
        <v>167</v>
      </c>
      <c r="N1" s="1"/>
    </row>
    <row r="2" spans="1:18" ht="64">
      <c r="A2" t="s">
        <v>153</v>
      </c>
      <c r="B2" s="36" t="s">
        <v>165</v>
      </c>
      <c r="C2" s="36" t="s">
        <v>381</v>
      </c>
      <c r="D2" s="36" t="s">
        <v>384</v>
      </c>
      <c r="E2" s="36" t="s">
        <v>385</v>
      </c>
      <c r="F2">
        <f>VLOOKUP(A2,Text!A:B,2,FALSE)</f>
        <v>0</v>
      </c>
      <c r="G2" s="59" t="s">
        <v>403</v>
      </c>
      <c r="H2" s="60" t="s">
        <v>404</v>
      </c>
      <c r="I2" s="36" t="s">
        <v>441</v>
      </c>
      <c r="J2" s="36" t="s">
        <v>442</v>
      </c>
      <c r="K2" s="37" t="s">
        <v>443</v>
      </c>
      <c r="L2" s="37" t="s">
        <v>444</v>
      </c>
      <c r="M2" s="37" t="s">
        <v>445</v>
      </c>
      <c r="N2" s="25"/>
      <c r="O2" s="41"/>
    </row>
    <row r="3" spans="1:18" ht="64">
      <c r="A3" t="s">
        <v>172</v>
      </c>
      <c r="B3" s="34" t="s">
        <v>179</v>
      </c>
      <c r="C3" s="34" t="s">
        <v>382</v>
      </c>
      <c r="D3" s="34" t="s">
        <v>384</v>
      </c>
      <c r="E3" s="56" t="s">
        <v>386</v>
      </c>
      <c r="F3">
        <f>VLOOKUP(A3,Text!A:B,2,FALSE)</f>
        <v>0</v>
      </c>
      <c r="G3" s="61" t="s">
        <v>405</v>
      </c>
      <c r="H3" s="62"/>
      <c r="I3" s="33" t="s">
        <v>446</v>
      </c>
      <c r="J3" s="34" t="s">
        <v>447</v>
      </c>
      <c r="K3" s="34" t="s">
        <v>443</v>
      </c>
      <c r="L3" s="52"/>
      <c r="M3" s="34" t="s">
        <v>448</v>
      </c>
      <c r="N3" s="25"/>
      <c r="O3" s="25"/>
    </row>
    <row r="4" spans="1:18" ht="64">
      <c r="A4" t="s">
        <v>147</v>
      </c>
      <c r="B4" s="37" t="s">
        <v>182</v>
      </c>
      <c r="C4" s="37" t="s">
        <v>381</v>
      </c>
      <c r="D4" s="37" t="s">
        <v>387</v>
      </c>
      <c r="E4" s="57" t="s">
        <v>168</v>
      </c>
      <c r="F4">
        <f>VLOOKUP(A4,Text!A:B,2,FALSE)</f>
        <v>0</v>
      </c>
      <c r="G4" s="59" t="s">
        <v>406</v>
      </c>
      <c r="H4" s="57" t="s">
        <v>407</v>
      </c>
      <c r="I4" s="37" t="s">
        <v>441</v>
      </c>
      <c r="J4" s="37" t="s">
        <v>442</v>
      </c>
      <c r="K4" s="37" t="s">
        <v>443</v>
      </c>
      <c r="L4" s="37" t="s">
        <v>478</v>
      </c>
      <c r="M4" s="37" t="s">
        <v>445</v>
      </c>
      <c r="N4" s="25"/>
      <c r="O4" s="41"/>
      <c r="Q4" s="22"/>
      <c r="R4" s="21"/>
    </row>
    <row r="5" spans="1:18" ht="64">
      <c r="A5" t="s">
        <v>148</v>
      </c>
      <c r="B5" s="33" t="s">
        <v>187</v>
      </c>
      <c r="C5" s="34" t="s">
        <v>381</v>
      </c>
      <c r="D5" s="34" t="s">
        <v>387</v>
      </c>
      <c r="E5" s="34" t="s">
        <v>37</v>
      </c>
      <c r="F5">
        <f>VLOOKUP(A5,Text!A:B,2,FALSE)</f>
        <v>0</v>
      </c>
      <c r="G5" s="61" t="s">
        <v>408</v>
      </c>
      <c r="H5" s="62"/>
      <c r="I5" s="34" t="s">
        <v>441</v>
      </c>
      <c r="J5" s="34" t="s">
        <v>447</v>
      </c>
      <c r="K5" s="34" t="s">
        <v>443</v>
      </c>
      <c r="L5" s="64"/>
      <c r="M5" s="34" t="s">
        <v>449</v>
      </c>
      <c r="N5" s="25"/>
      <c r="O5" s="41"/>
      <c r="Q5" s="30"/>
      <c r="R5" s="21"/>
    </row>
    <row r="6" spans="1:18" ht="64">
      <c r="A6" t="s">
        <v>11</v>
      </c>
      <c r="B6" s="35" t="s">
        <v>106</v>
      </c>
      <c r="C6" s="35" t="s">
        <v>381</v>
      </c>
      <c r="D6" s="37" t="s">
        <v>388</v>
      </c>
      <c r="E6" s="35" t="s">
        <v>389</v>
      </c>
      <c r="F6">
        <f>VLOOKUP(A6,Text!A:B,2,FALSE)</f>
        <v>0</v>
      </c>
      <c r="G6" s="54" t="s">
        <v>112</v>
      </c>
      <c r="H6" s="63" t="s">
        <v>409</v>
      </c>
      <c r="I6" s="35" t="s">
        <v>441</v>
      </c>
      <c r="J6" s="35" t="s">
        <v>447</v>
      </c>
      <c r="K6" s="34" t="s">
        <v>443</v>
      </c>
      <c r="L6" s="65" t="s">
        <v>450</v>
      </c>
      <c r="M6" s="34" t="s">
        <v>388</v>
      </c>
      <c r="N6" s="25"/>
      <c r="O6" s="36"/>
      <c r="Q6" s="31"/>
      <c r="R6" s="21"/>
    </row>
    <row r="7" spans="1:18" ht="64">
      <c r="A7" t="s">
        <v>218</v>
      </c>
      <c r="B7" s="33" t="s">
        <v>188</v>
      </c>
      <c r="C7" s="34" t="s">
        <v>381</v>
      </c>
      <c r="D7" s="37" t="s">
        <v>387</v>
      </c>
      <c r="E7" s="34" t="s">
        <v>390</v>
      </c>
      <c r="F7">
        <f>VLOOKUP(A7,Text!A:B,2,FALSE)</f>
        <v>0</v>
      </c>
      <c r="G7" s="61" t="s">
        <v>410</v>
      </c>
      <c r="H7" s="62"/>
      <c r="I7" s="34" t="s">
        <v>446</v>
      </c>
      <c r="J7" s="34" t="s">
        <v>447</v>
      </c>
      <c r="K7" s="34" t="s">
        <v>443</v>
      </c>
      <c r="L7" s="64"/>
      <c r="M7" s="34" t="s">
        <v>451</v>
      </c>
      <c r="N7" s="25"/>
      <c r="O7" s="25"/>
      <c r="Q7" s="30"/>
      <c r="R7" s="2"/>
    </row>
    <row r="8" spans="1:18" ht="64">
      <c r="A8" t="s">
        <v>105</v>
      </c>
      <c r="B8" s="35" t="s">
        <v>104</v>
      </c>
      <c r="C8" s="35" t="s">
        <v>381</v>
      </c>
      <c r="D8" s="35" t="s">
        <v>384</v>
      </c>
      <c r="E8" s="35" t="s">
        <v>145</v>
      </c>
      <c r="F8">
        <f>VLOOKUP(A8,Text!A:B,2,FALSE)</f>
        <v>0</v>
      </c>
      <c r="G8" s="54" t="s">
        <v>113</v>
      </c>
      <c r="H8" s="63" t="s">
        <v>411</v>
      </c>
      <c r="I8" s="35" t="s">
        <v>452</v>
      </c>
      <c r="J8" s="35" t="s">
        <v>442</v>
      </c>
      <c r="K8" s="34" t="s">
        <v>443</v>
      </c>
      <c r="L8" s="34" t="s">
        <v>453</v>
      </c>
      <c r="M8" s="34" t="s">
        <v>454</v>
      </c>
      <c r="N8" s="25"/>
      <c r="O8" s="25"/>
      <c r="Q8" s="30"/>
      <c r="R8" s="21"/>
    </row>
    <row r="9" spans="1:18" ht="64">
      <c r="A9" t="s">
        <v>8</v>
      </c>
      <c r="B9" s="35" t="s">
        <v>101</v>
      </c>
      <c r="C9" s="35" t="s">
        <v>381</v>
      </c>
      <c r="D9" s="35" t="s">
        <v>384</v>
      </c>
      <c r="E9" s="35" t="s">
        <v>386</v>
      </c>
      <c r="F9">
        <f>VLOOKUP(A9,Text!A:B,2,FALSE)</f>
        <v>0</v>
      </c>
      <c r="G9" s="54" t="s">
        <v>114</v>
      </c>
      <c r="H9" s="63" t="s">
        <v>412</v>
      </c>
      <c r="I9" s="35" t="s">
        <v>441</v>
      </c>
      <c r="J9" s="34" t="s">
        <v>447</v>
      </c>
      <c r="K9" s="34" t="s">
        <v>443</v>
      </c>
      <c r="L9" s="34" t="s">
        <v>479</v>
      </c>
      <c r="M9" s="34" t="s">
        <v>455</v>
      </c>
      <c r="N9" s="25"/>
      <c r="O9" s="25"/>
      <c r="Q9" s="21"/>
      <c r="R9" s="2"/>
    </row>
    <row r="10" spans="1:18" ht="64">
      <c r="A10" t="s">
        <v>134</v>
      </c>
      <c r="B10" s="35" t="s">
        <v>128</v>
      </c>
      <c r="C10" s="34" t="s">
        <v>381</v>
      </c>
      <c r="D10" s="34" t="s">
        <v>384</v>
      </c>
      <c r="E10" s="35" t="s">
        <v>386</v>
      </c>
      <c r="F10">
        <f>VLOOKUP(A10,Text!A:B,2,FALSE)</f>
        <v>0</v>
      </c>
      <c r="G10" s="33" t="s">
        <v>142</v>
      </c>
      <c r="H10" s="63" t="s">
        <v>413</v>
      </c>
      <c r="I10" s="35" t="s">
        <v>456</v>
      </c>
      <c r="J10" s="34" t="s">
        <v>447</v>
      </c>
      <c r="K10" s="34" t="s">
        <v>443</v>
      </c>
      <c r="L10" s="34" t="s">
        <v>457</v>
      </c>
      <c r="M10" s="34" t="s">
        <v>458</v>
      </c>
      <c r="N10" s="25"/>
      <c r="O10" s="25"/>
      <c r="Q10" s="21"/>
      <c r="R10" s="21"/>
    </row>
    <row r="11" spans="1:18" ht="64">
      <c r="A11" t="s">
        <v>14</v>
      </c>
      <c r="B11" s="35" t="s">
        <v>107</v>
      </c>
      <c r="C11" s="34" t="s">
        <v>382</v>
      </c>
      <c r="D11" s="34" t="s">
        <v>384</v>
      </c>
      <c r="E11" s="35" t="s">
        <v>386</v>
      </c>
      <c r="F11">
        <f>VLOOKUP(A11,Text!A:B,2,FALSE)</f>
        <v>0</v>
      </c>
      <c r="G11" s="54" t="s">
        <v>115</v>
      </c>
      <c r="H11" s="63" t="s">
        <v>414</v>
      </c>
      <c r="I11" s="35" t="s">
        <v>446</v>
      </c>
      <c r="J11" s="34" t="s">
        <v>447</v>
      </c>
      <c r="K11" s="34" t="s">
        <v>443</v>
      </c>
      <c r="L11" s="34" t="s">
        <v>459</v>
      </c>
      <c r="M11" s="34" t="s">
        <v>455</v>
      </c>
      <c r="N11" s="25"/>
      <c r="O11" s="25"/>
      <c r="R11" s="21"/>
    </row>
    <row r="12" spans="1:18" ht="80">
      <c r="A12" t="s">
        <v>78</v>
      </c>
      <c r="B12" s="35" t="s">
        <v>102</v>
      </c>
      <c r="C12" s="34" t="s">
        <v>382</v>
      </c>
      <c r="D12" s="34" t="s">
        <v>384</v>
      </c>
      <c r="E12" s="34" t="s">
        <v>391</v>
      </c>
      <c r="F12">
        <f>VLOOKUP(A12,Text!A:B,2,FALSE)</f>
        <v>0</v>
      </c>
      <c r="G12" s="54" t="s">
        <v>116</v>
      </c>
      <c r="H12" s="63" t="s">
        <v>415</v>
      </c>
      <c r="I12" s="37" t="s">
        <v>460</v>
      </c>
      <c r="J12" s="37" t="s">
        <v>447</v>
      </c>
      <c r="K12" s="34" t="s">
        <v>443</v>
      </c>
      <c r="L12" s="34" t="s">
        <v>485</v>
      </c>
      <c r="M12" s="34" t="s">
        <v>461</v>
      </c>
      <c r="N12" s="25"/>
      <c r="O12" s="25"/>
    </row>
    <row r="13" spans="1:18" ht="80">
      <c r="A13" t="s">
        <v>9</v>
      </c>
      <c r="B13" s="35" t="s">
        <v>98</v>
      </c>
      <c r="C13" s="28" t="s">
        <v>382</v>
      </c>
      <c r="D13" s="34" t="s">
        <v>384</v>
      </c>
      <c r="E13" s="34" t="s">
        <v>391</v>
      </c>
      <c r="F13">
        <f>VLOOKUP(A13,Text!A:B,2,FALSE)</f>
        <v>0</v>
      </c>
      <c r="G13" s="54" t="s">
        <v>117</v>
      </c>
      <c r="H13" s="63" t="s">
        <v>416</v>
      </c>
      <c r="I13" s="35" t="s">
        <v>441</v>
      </c>
      <c r="J13" s="34" t="s">
        <v>447</v>
      </c>
      <c r="K13" s="34" t="s">
        <v>443</v>
      </c>
      <c r="L13" s="34" t="s">
        <v>480</v>
      </c>
      <c r="M13" s="34" t="s">
        <v>462</v>
      </c>
      <c r="N13" s="25"/>
      <c r="O13" s="25"/>
    </row>
    <row r="14" spans="1:18" ht="64">
      <c r="A14" t="s">
        <v>15</v>
      </c>
      <c r="B14" s="35" t="s">
        <v>379</v>
      </c>
      <c r="C14" s="34" t="s">
        <v>382</v>
      </c>
      <c r="D14" s="34" t="s">
        <v>384</v>
      </c>
      <c r="E14" s="34" t="s">
        <v>391</v>
      </c>
      <c r="F14">
        <f>VLOOKUP(A14,Text!A:B,2,FALSE)</f>
        <v>0</v>
      </c>
      <c r="G14" s="54" t="s">
        <v>118</v>
      </c>
      <c r="H14" s="63" t="s">
        <v>417</v>
      </c>
      <c r="I14" s="35" t="s">
        <v>460</v>
      </c>
      <c r="J14" s="34" t="s">
        <v>447</v>
      </c>
      <c r="K14" s="34" t="s">
        <v>443</v>
      </c>
      <c r="L14" s="34" t="s">
        <v>463</v>
      </c>
      <c r="M14" s="34" t="s">
        <v>461</v>
      </c>
      <c r="N14" s="25"/>
      <c r="O14" s="25"/>
    </row>
    <row r="15" spans="1:18" ht="64">
      <c r="A15" t="s">
        <v>149</v>
      </c>
      <c r="B15" s="34" t="s">
        <v>180</v>
      </c>
      <c r="C15" s="34" t="s">
        <v>382</v>
      </c>
      <c r="D15" s="34" t="s">
        <v>384</v>
      </c>
      <c r="E15" s="34" t="s">
        <v>392</v>
      </c>
      <c r="F15">
        <f>VLOOKUP(A15,Text!A:B,2,FALSE)</f>
        <v>0</v>
      </c>
      <c r="G15" s="61" t="s">
        <v>418</v>
      </c>
      <c r="H15" s="62"/>
      <c r="I15" s="34" t="s">
        <v>446</v>
      </c>
      <c r="J15" s="34" t="s">
        <v>447</v>
      </c>
      <c r="K15" s="34" t="s">
        <v>443</v>
      </c>
      <c r="L15" s="34" t="s">
        <v>464</v>
      </c>
      <c r="M15" s="34" t="s">
        <v>461</v>
      </c>
      <c r="N15" s="25"/>
      <c r="O15" s="25"/>
    </row>
    <row r="16" spans="1:18" ht="64">
      <c r="A16" t="s">
        <v>152</v>
      </c>
      <c r="B16" s="33" t="s">
        <v>181</v>
      </c>
      <c r="C16" s="34" t="s">
        <v>381</v>
      </c>
      <c r="D16" s="34" t="s">
        <v>387</v>
      </c>
      <c r="E16" s="33" t="s">
        <v>50</v>
      </c>
      <c r="F16">
        <f>VLOOKUP(A16,Text!A:B,2,FALSE)</f>
        <v>0</v>
      </c>
      <c r="G16" s="61" t="s">
        <v>419</v>
      </c>
      <c r="H16" s="62"/>
      <c r="I16" s="34" t="s">
        <v>441</v>
      </c>
      <c r="J16" s="34" t="s">
        <v>447</v>
      </c>
      <c r="K16" s="34" t="s">
        <v>443</v>
      </c>
      <c r="L16" s="64"/>
      <c r="M16" s="34" t="s">
        <v>449</v>
      </c>
      <c r="N16" s="25"/>
      <c r="O16" s="25"/>
    </row>
    <row r="17" spans="1:15" ht="80">
      <c r="A17" t="s">
        <v>23</v>
      </c>
      <c r="B17" s="35" t="s">
        <v>108</v>
      </c>
      <c r="C17" s="28" t="s">
        <v>381</v>
      </c>
      <c r="D17" s="28" t="s">
        <v>384</v>
      </c>
      <c r="E17" s="34" t="s">
        <v>393</v>
      </c>
      <c r="F17">
        <f>VLOOKUP(A17,Text!A:B,2,FALSE)</f>
        <v>0</v>
      </c>
      <c r="G17" s="54" t="s">
        <v>119</v>
      </c>
      <c r="H17" s="63" t="s">
        <v>420</v>
      </c>
      <c r="I17" s="37" t="s">
        <v>465</v>
      </c>
      <c r="J17" s="37" t="s">
        <v>442</v>
      </c>
      <c r="K17" s="34" t="s">
        <v>466</v>
      </c>
      <c r="L17" s="34" t="s">
        <v>481</v>
      </c>
      <c r="M17" s="34" t="s">
        <v>467</v>
      </c>
      <c r="N17" s="25"/>
      <c r="O17" s="25"/>
    </row>
    <row r="18" spans="1:15" ht="64">
      <c r="A18" t="s">
        <v>13</v>
      </c>
      <c r="B18" s="35" t="s">
        <v>220</v>
      </c>
      <c r="C18" s="28" t="s">
        <v>381</v>
      </c>
      <c r="D18" s="34" t="s">
        <v>384</v>
      </c>
      <c r="E18" s="35" t="s">
        <v>394</v>
      </c>
      <c r="F18">
        <f>VLOOKUP(A18,Text!A:B,2,FALSE)</f>
        <v>0</v>
      </c>
      <c r="G18" s="54" t="s">
        <v>120</v>
      </c>
      <c r="H18" s="63" t="s">
        <v>421</v>
      </c>
      <c r="I18" s="37" t="s">
        <v>465</v>
      </c>
      <c r="J18" s="37" t="s">
        <v>447</v>
      </c>
      <c r="K18" s="34" t="s">
        <v>466</v>
      </c>
      <c r="L18" s="64"/>
      <c r="M18" s="34" t="s">
        <v>461</v>
      </c>
      <c r="N18" s="25"/>
      <c r="O18" s="37"/>
    </row>
    <row r="19" spans="1:15" ht="48">
      <c r="A19" t="s">
        <v>52</v>
      </c>
      <c r="B19" s="35" t="s">
        <v>221</v>
      </c>
      <c r="C19" s="34" t="s">
        <v>382</v>
      </c>
      <c r="D19" s="34" t="s">
        <v>384</v>
      </c>
      <c r="E19" s="34" t="s">
        <v>395</v>
      </c>
      <c r="F19">
        <f>VLOOKUP(A19,Text!A:B,2,FALSE)</f>
        <v>0</v>
      </c>
      <c r="G19" s="54" t="s">
        <v>121</v>
      </c>
      <c r="H19" s="63" t="s">
        <v>422</v>
      </c>
      <c r="I19" s="37" t="s">
        <v>465</v>
      </c>
      <c r="J19" s="37" t="s">
        <v>447</v>
      </c>
      <c r="K19" s="34" t="s">
        <v>466</v>
      </c>
      <c r="L19" s="64" t="s">
        <v>463</v>
      </c>
      <c r="M19" s="34" t="s">
        <v>461</v>
      </c>
      <c r="N19" s="25"/>
      <c r="O19" s="37"/>
    </row>
    <row r="20" spans="1:15" ht="48">
      <c r="A20" t="s">
        <v>133</v>
      </c>
      <c r="B20" s="35" t="s">
        <v>222</v>
      </c>
      <c r="C20" s="34" t="s">
        <v>381</v>
      </c>
      <c r="D20" s="34" t="s">
        <v>384</v>
      </c>
      <c r="E20" s="34" t="s">
        <v>396</v>
      </c>
      <c r="F20">
        <f>VLOOKUP(A20,Text!A:B,2,FALSE)</f>
        <v>0</v>
      </c>
      <c r="G20" s="33" t="s">
        <v>143</v>
      </c>
      <c r="H20" s="63" t="s">
        <v>423</v>
      </c>
      <c r="I20" s="35" t="s">
        <v>465</v>
      </c>
      <c r="J20" s="34" t="s">
        <v>447</v>
      </c>
      <c r="K20" s="34" t="s">
        <v>466</v>
      </c>
      <c r="L20" s="64"/>
      <c r="M20" s="34" t="s">
        <v>461</v>
      </c>
      <c r="N20" s="25"/>
      <c r="O20" s="37"/>
    </row>
    <row r="21" spans="1:15" ht="64">
      <c r="A21" t="s">
        <v>150</v>
      </c>
      <c r="B21" s="35" t="s">
        <v>213</v>
      </c>
      <c r="C21" s="34" t="s">
        <v>381</v>
      </c>
      <c r="D21" s="34" t="s">
        <v>384</v>
      </c>
      <c r="E21" s="53" t="s">
        <v>397</v>
      </c>
      <c r="F21">
        <f>VLOOKUP(A21,Text!A:B,2,FALSE)</f>
        <v>0</v>
      </c>
      <c r="G21" s="61" t="s">
        <v>424</v>
      </c>
      <c r="H21" s="63" t="s">
        <v>425</v>
      </c>
      <c r="I21" s="37" t="s">
        <v>446</v>
      </c>
      <c r="J21" s="37" t="s">
        <v>447</v>
      </c>
      <c r="K21" s="25" t="s">
        <v>443</v>
      </c>
      <c r="L21" s="25" t="s">
        <v>484</v>
      </c>
      <c r="M21" s="25" t="s">
        <v>468</v>
      </c>
      <c r="N21" s="25"/>
      <c r="O21" s="25"/>
    </row>
    <row r="22" spans="1:15" ht="64">
      <c r="A22" t="s">
        <v>171</v>
      </c>
      <c r="B22" s="34" t="s">
        <v>214</v>
      </c>
      <c r="C22" s="34" t="s">
        <v>381</v>
      </c>
      <c r="D22" s="34" t="s">
        <v>384</v>
      </c>
      <c r="E22" s="34" t="s">
        <v>386</v>
      </c>
      <c r="F22">
        <f>VLOOKUP(A22,Text!A:B,2,FALSE)</f>
        <v>0</v>
      </c>
      <c r="G22" s="61" t="s">
        <v>426</v>
      </c>
      <c r="H22" s="33" t="s">
        <v>427</v>
      </c>
      <c r="I22" s="34" t="s">
        <v>441</v>
      </c>
      <c r="J22" s="34" t="s">
        <v>447</v>
      </c>
      <c r="K22" s="25" t="s">
        <v>443</v>
      </c>
      <c r="L22" s="55" t="s">
        <v>469</v>
      </c>
      <c r="M22" s="25" t="s">
        <v>470</v>
      </c>
      <c r="N22" s="25"/>
      <c r="O22" s="25"/>
    </row>
    <row r="23" spans="1:15" ht="64">
      <c r="A23" t="s">
        <v>217</v>
      </c>
      <c r="B23" s="35" t="s">
        <v>97</v>
      </c>
      <c r="C23" s="28" t="s">
        <v>381</v>
      </c>
      <c r="D23" s="28" t="s">
        <v>388</v>
      </c>
      <c r="E23" s="34" t="s">
        <v>386</v>
      </c>
      <c r="F23">
        <f>VLOOKUP(A23,Text!A:B,2,FALSE)</f>
        <v>0</v>
      </c>
      <c r="G23" s="54" t="s">
        <v>122</v>
      </c>
      <c r="H23" s="63" t="s">
        <v>428</v>
      </c>
      <c r="I23" s="37" t="s">
        <v>446</v>
      </c>
      <c r="J23" s="37" t="s">
        <v>447</v>
      </c>
      <c r="K23" s="25" t="s">
        <v>443</v>
      </c>
      <c r="L23" s="25" t="s">
        <v>471</v>
      </c>
      <c r="M23" s="25" t="s">
        <v>388</v>
      </c>
      <c r="N23" s="25"/>
      <c r="O23" s="25"/>
    </row>
    <row r="24" spans="1:15" ht="64">
      <c r="A24" t="s">
        <v>146</v>
      </c>
      <c r="B24" s="35" t="s">
        <v>223</v>
      </c>
      <c r="C24" s="28" t="s">
        <v>381</v>
      </c>
      <c r="D24" s="28" t="s">
        <v>387</v>
      </c>
      <c r="E24" s="34" t="s">
        <v>145</v>
      </c>
      <c r="F24">
        <f>VLOOKUP(A24,Text!A:B,2,FALSE)</f>
        <v>0</v>
      </c>
      <c r="G24" s="61" t="s">
        <v>429</v>
      </c>
      <c r="H24" s="63" t="s">
        <v>430</v>
      </c>
      <c r="I24" s="34" t="s">
        <v>446</v>
      </c>
      <c r="J24" s="34" t="s">
        <v>447</v>
      </c>
      <c r="K24" s="34" t="s">
        <v>443</v>
      </c>
      <c r="L24" s="64"/>
      <c r="M24" s="34" t="s">
        <v>388</v>
      </c>
      <c r="N24" s="25"/>
      <c r="O24" s="25"/>
    </row>
    <row r="25" spans="1:15" ht="64">
      <c r="A25" t="s">
        <v>29</v>
      </c>
      <c r="B25" s="35" t="s">
        <v>103</v>
      </c>
      <c r="C25" s="28" t="s">
        <v>381</v>
      </c>
      <c r="D25" s="28" t="s">
        <v>387</v>
      </c>
      <c r="E25" s="35" t="s">
        <v>145</v>
      </c>
      <c r="F25">
        <f>VLOOKUP(A25,Text!A:B,2,FALSE)</f>
        <v>0</v>
      </c>
      <c r="G25" s="54" t="s">
        <v>123</v>
      </c>
      <c r="H25" s="63" t="s">
        <v>431</v>
      </c>
      <c r="I25" s="34" t="s">
        <v>441</v>
      </c>
      <c r="J25" s="34" t="s">
        <v>472</v>
      </c>
      <c r="K25" s="34" t="s">
        <v>443</v>
      </c>
      <c r="L25" s="64"/>
      <c r="M25" s="34" t="s">
        <v>473</v>
      </c>
      <c r="N25" s="25"/>
      <c r="O25" s="25"/>
    </row>
    <row r="26" spans="1:15" ht="64">
      <c r="A26" t="s">
        <v>3</v>
      </c>
      <c r="B26" s="35" t="s">
        <v>100</v>
      </c>
      <c r="C26" s="28" t="s">
        <v>383</v>
      </c>
      <c r="D26" s="28" t="s">
        <v>388</v>
      </c>
      <c r="E26" s="35" t="s">
        <v>386</v>
      </c>
      <c r="F26">
        <f>VLOOKUP(A26,Text!A:B,2,FALSE)</f>
        <v>0</v>
      </c>
      <c r="G26" s="54" t="s">
        <v>124</v>
      </c>
      <c r="H26" s="63" t="s">
        <v>432</v>
      </c>
      <c r="I26" s="34" t="s">
        <v>441</v>
      </c>
      <c r="J26" s="34" t="s">
        <v>447</v>
      </c>
      <c r="K26" s="25" t="s">
        <v>443</v>
      </c>
      <c r="L26" s="25" t="s">
        <v>450</v>
      </c>
      <c r="M26" s="25" t="s">
        <v>388</v>
      </c>
      <c r="N26" s="25"/>
      <c r="O26" s="25"/>
    </row>
    <row r="27" spans="1:15" ht="64">
      <c r="A27" t="s">
        <v>151</v>
      </c>
      <c r="B27" s="35" t="s">
        <v>157</v>
      </c>
      <c r="C27" s="28" t="s">
        <v>381</v>
      </c>
      <c r="D27" s="28" t="s">
        <v>387</v>
      </c>
      <c r="E27" s="33" t="s">
        <v>398</v>
      </c>
      <c r="F27">
        <f>VLOOKUP(A27,Text!A:B,2,FALSE)</f>
        <v>0</v>
      </c>
      <c r="G27" s="61" t="s">
        <v>433</v>
      </c>
      <c r="H27" s="63" t="s">
        <v>434</v>
      </c>
      <c r="I27" s="34" t="s">
        <v>441</v>
      </c>
      <c r="J27" s="34" t="s">
        <v>447</v>
      </c>
      <c r="K27" s="34" t="s">
        <v>443</v>
      </c>
      <c r="L27" s="34" t="s">
        <v>482</v>
      </c>
      <c r="M27" s="34" t="s">
        <v>486</v>
      </c>
      <c r="N27" s="25"/>
      <c r="O27" s="25"/>
    </row>
    <row r="28" spans="1:15" ht="64">
      <c r="A28" t="s">
        <v>55</v>
      </c>
      <c r="B28" s="35" t="s">
        <v>219</v>
      </c>
      <c r="C28" s="28" t="s">
        <v>381</v>
      </c>
      <c r="D28" s="28" t="s">
        <v>387</v>
      </c>
      <c r="E28" s="35" t="s">
        <v>399</v>
      </c>
      <c r="F28">
        <f>VLOOKUP(A28,Text!A:B,2,FALSE)</f>
        <v>0</v>
      </c>
      <c r="G28" s="54" t="s">
        <v>125</v>
      </c>
      <c r="H28" s="63" t="s">
        <v>435</v>
      </c>
      <c r="I28" s="34" t="s">
        <v>441</v>
      </c>
      <c r="J28" s="34" t="s">
        <v>447</v>
      </c>
      <c r="K28" s="34" t="s">
        <v>443</v>
      </c>
      <c r="L28" s="64" t="s">
        <v>483</v>
      </c>
      <c r="M28" s="34" t="s">
        <v>474</v>
      </c>
      <c r="N28" s="25"/>
      <c r="O28" s="25"/>
    </row>
    <row r="29" spans="1:15" ht="64">
      <c r="A29" t="s">
        <v>154</v>
      </c>
      <c r="B29" s="35" t="s">
        <v>216</v>
      </c>
      <c r="C29" s="28" t="s">
        <v>382</v>
      </c>
      <c r="D29" s="28" t="s">
        <v>384</v>
      </c>
      <c r="E29" s="35" t="s">
        <v>399</v>
      </c>
      <c r="F29">
        <f>VLOOKUP(A29,Text!A:B,2,FALSE)</f>
        <v>0</v>
      </c>
      <c r="G29" s="61" t="s">
        <v>436</v>
      </c>
      <c r="H29" s="63" t="s">
        <v>435</v>
      </c>
      <c r="I29" s="34" t="s">
        <v>441</v>
      </c>
      <c r="J29" s="34" t="s">
        <v>447</v>
      </c>
      <c r="K29" s="34" t="s">
        <v>443</v>
      </c>
      <c r="L29" s="64"/>
      <c r="M29" s="34" t="s">
        <v>475</v>
      </c>
      <c r="N29" s="25"/>
      <c r="O29" s="25"/>
    </row>
    <row r="30" spans="1:15" ht="64">
      <c r="A30" t="s">
        <v>32</v>
      </c>
      <c r="B30" s="34" t="s">
        <v>215</v>
      </c>
      <c r="C30" s="34" t="s">
        <v>381</v>
      </c>
      <c r="D30" s="34" t="s">
        <v>384</v>
      </c>
      <c r="E30" s="34" t="s">
        <v>400</v>
      </c>
      <c r="F30">
        <f>VLOOKUP(A30,Text!A:B,2,FALSE)</f>
        <v>0</v>
      </c>
      <c r="G30" s="61" t="s">
        <v>437</v>
      </c>
      <c r="H30" s="33" t="s">
        <v>438</v>
      </c>
      <c r="I30" s="34" t="s">
        <v>441</v>
      </c>
      <c r="J30" s="34" t="s">
        <v>447</v>
      </c>
      <c r="K30" s="34" t="s">
        <v>443</v>
      </c>
      <c r="L30" s="65" t="s">
        <v>469</v>
      </c>
      <c r="M30" s="34" t="s">
        <v>470</v>
      </c>
      <c r="N30" s="25"/>
      <c r="O30" s="25"/>
    </row>
    <row r="31" spans="1:15" ht="64">
      <c r="A31" t="s">
        <v>33</v>
      </c>
      <c r="B31" s="37" t="s">
        <v>380</v>
      </c>
      <c r="C31" s="28" t="s">
        <v>381</v>
      </c>
      <c r="D31" s="58" t="s">
        <v>388</v>
      </c>
      <c r="E31" s="35" t="s">
        <v>400</v>
      </c>
      <c r="F31">
        <f>VLOOKUP(A31,Text!A:B,2,FALSE)</f>
        <v>0</v>
      </c>
      <c r="G31" s="54" t="s">
        <v>126</v>
      </c>
      <c r="H31" s="63" t="s">
        <v>439</v>
      </c>
      <c r="I31" s="35" t="s">
        <v>441</v>
      </c>
      <c r="J31" s="34" t="s">
        <v>447</v>
      </c>
      <c r="K31" s="25" t="s">
        <v>443</v>
      </c>
      <c r="L31" s="25" t="s">
        <v>450</v>
      </c>
      <c r="M31" s="25" t="s">
        <v>476</v>
      </c>
      <c r="N31" s="25"/>
      <c r="O31" s="25"/>
    </row>
    <row r="32" spans="1:15" ht="48">
      <c r="A32" t="s">
        <v>12</v>
      </c>
      <c r="B32" s="35" t="s">
        <v>99</v>
      </c>
      <c r="C32" s="28" t="s">
        <v>381</v>
      </c>
      <c r="D32" s="28" t="s">
        <v>387</v>
      </c>
      <c r="E32" s="35" t="s">
        <v>401</v>
      </c>
      <c r="F32">
        <f>VLOOKUP(A32,Text!A:B,2,FALSE)</f>
        <v>0</v>
      </c>
      <c r="G32" s="54" t="s">
        <v>127</v>
      </c>
      <c r="H32" s="63" t="s">
        <v>440</v>
      </c>
      <c r="I32" s="37" t="s">
        <v>446</v>
      </c>
      <c r="J32" s="37" t="s">
        <v>447</v>
      </c>
      <c r="K32" s="34" t="s">
        <v>466</v>
      </c>
      <c r="L32" s="34" t="s">
        <v>450</v>
      </c>
      <c r="M32" s="34" t="s">
        <v>487</v>
      </c>
      <c r="N32" s="25"/>
      <c r="O32" s="25"/>
    </row>
    <row r="33" spans="1:17">
      <c r="A33" s="21"/>
      <c r="B33" s="21"/>
      <c r="C33" s="21"/>
      <c r="D33" s="21"/>
      <c r="E33" s="21"/>
      <c r="F33" s="21"/>
      <c r="G33" s="20"/>
      <c r="H33" s="20"/>
      <c r="I33" s="21"/>
      <c r="J33" s="21"/>
      <c r="K33" s="21"/>
      <c r="L33" s="21"/>
      <c r="M33" s="21"/>
      <c r="N33" s="21"/>
      <c r="O33" s="25"/>
      <c r="P33" s="21"/>
      <c r="Q33" s="21"/>
    </row>
    <row r="34" spans="1:17">
      <c r="A34" s="21"/>
      <c r="F34" s="10"/>
      <c r="N34" s="25"/>
      <c r="O34" s="25"/>
    </row>
    <row r="35" spans="1:17">
      <c r="A35" s="21"/>
      <c r="F35" s="10"/>
      <c r="N35" s="25"/>
      <c r="O35" s="25"/>
    </row>
    <row r="36" spans="1:17">
      <c r="A36" s="21"/>
      <c r="F36" s="10"/>
      <c r="N36" s="25"/>
      <c r="O36" s="25"/>
    </row>
    <row r="37" spans="1:17">
      <c r="A37" s="21"/>
      <c r="F37" s="10"/>
      <c r="N37" s="25"/>
    </row>
    <row r="38" spans="1:17">
      <c r="A38" s="21"/>
      <c r="F38" s="10"/>
      <c r="N38" s="25"/>
      <c r="P38" s="21"/>
    </row>
    <row r="39" spans="1:17">
      <c r="A39" s="21"/>
      <c r="F39" s="10"/>
      <c r="N39" s="25"/>
      <c r="P39" s="21"/>
    </row>
    <row r="40" spans="1:17">
      <c r="A40" s="21"/>
      <c r="F40" s="10"/>
      <c r="N40" s="25"/>
      <c r="P40" s="21"/>
    </row>
    <row r="41" spans="1:17">
      <c r="A41" s="21"/>
      <c r="F41" s="10"/>
      <c r="N41" s="25"/>
      <c r="P41" s="21"/>
    </row>
    <row r="42" spans="1:17">
      <c r="A42" s="21"/>
      <c r="F42" s="10"/>
      <c r="N42" s="25"/>
      <c r="P42" s="21"/>
    </row>
    <row r="43" spans="1:17">
      <c r="A43" s="21"/>
      <c r="F43" s="10"/>
      <c r="N43" s="25"/>
      <c r="P43" s="21"/>
    </row>
    <row r="44" spans="1:17">
      <c r="A44" s="21"/>
      <c r="F44" s="10"/>
      <c r="N44" s="25"/>
      <c r="P44" s="21"/>
    </row>
    <row r="45" spans="1:17">
      <c r="A45" s="21"/>
      <c r="F45" s="10"/>
      <c r="N45" s="25"/>
      <c r="P45" s="21"/>
    </row>
    <row r="46" spans="1:17">
      <c r="A46" s="21"/>
      <c r="F46" s="10"/>
      <c r="N46" s="25"/>
      <c r="P46" s="21"/>
    </row>
    <row r="47" spans="1:17">
      <c r="A47" s="21"/>
      <c r="F47" s="10"/>
      <c r="N47" s="25"/>
      <c r="P47" s="21"/>
    </row>
    <row r="48" spans="1:17">
      <c r="A48" s="21"/>
      <c r="F48" s="10"/>
      <c r="N48" s="25"/>
      <c r="P48" s="21"/>
    </row>
    <row r="49" spans="1:16" ht="16">
      <c r="A49" s="21"/>
      <c r="C49" s="22"/>
      <c r="F49" s="10"/>
      <c r="N49" s="25"/>
      <c r="P49" s="21"/>
    </row>
    <row r="50" spans="1:16" ht="16">
      <c r="A50" s="21"/>
      <c r="C50" s="30"/>
      <c r="F50" s="10"/>
      <c r="N50" s="25"/>
      <c r="P50" s="21"/>
    </row>
    <row r="51" spans="1:16" ht="16">
      <c r="A51" s="21"/>
      <c r="C51" s="31"/>
      <c r="F51" s="10"/>
      <c r="N51" s="25"/>
      <c r="P51" s="21"/>
    </row>
    <row r="52" spans="1:16" ht="16">
      <c r="A52" s="26"/>
      <c r="C52" s="30"/>
      <c r="F52" s="10"/>
      <c r="N52" s="25"/>
      <c r="P52" s="21"/>
    </row>
    <row r="53" spans="1:16">
      <c r="A53" s="21"/>
      <c r="C53" s="2"/>
      <c r="F53" s="10"/>
      <c r="N53" s="25"/>
      <c r="P53" s="21"/>
    </row>
    <row r="54" spans="1:16" ht="16">
      <c r="A54" s="21"/>
      <c r="C54" s="30"/>
      <c r="F54" s="10"/>
      <c r="N54" s="25"/>
      <c r="P54" s="21"/>
    </row>
    <row r="55" spans="1:16">
      <c r="A55" s="21"/>
      <c r="C55" s="2"/>
      <c r="F55" s="10"/>
      <c r="N55" s="25"/>
    </row>
    <row r="56" spans="1:16">
      <c r="A56" s="21"/>
      <c r="C56" s="2"/>
      <c r="F56" s="10"/>
      <c r="N56" s="25"/>
    </row>
    <row r="57" spans="1:16">
      <c r="C57" s="2"/>
    </row>
    <row r="58" spans="1:16">
      <c r="C58" s="2"/>
    </row>
    <row r="59" spans="1:16">
      <c r="C59" s="2"/>
    </row>
    <row r="60" spans="1:16">
      <c r="C60" s="2"/>
    </row>
    <row r="61" spans="1:16">
      <c r="C61" s="2"/>
    </row>
    <row r="62" spans="1:16">
      <c r="C62" s="21"/>
    </row>
    <row r="63" spans="1:16">
      <c r="C63" s="21"/>
    </row>
    <row r="64" spans="1:16">
      <c r="C64" s="21"/>
    </row>
    <row r="65" spans="3:3">
      <c r="C65" s="21"/>
    </row>
    <row r="66" spans="3:3">
      <c r="C66" s="21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1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1"/>
    </row>
    <row r="78" spans="3:3">
      <c r="C78" s="2"/>
    </row>
    <row r="79" spans="3:3" ht="16">
      <c r="C79" s="32"/>
    </row>
    <row r="80" spans="3:3">
      <c r="C80" s="21"/>
    </row>
    <row r="81" spans="3:3">
      <c r="C81" s="2"/>
    </row>
    <row r="82" spans="3:3">
      <c r="C82" s="2"/>
    </row>
  </sheetData>
  <sortState ref="A34:A42">
    <sortCondition ref="A1:A9"/>
  </sortState>
  <phoneticPr fontId="19" type="noConversion"/>
  <hyperlinks>
    <hyperlink ref="G6" r:id="rId1" xr:uid="{CFC7ED3B-ED29-3042-9FE7-A8B289847DAE}"/>
    <hyperlink ref="G8" r:id="rId2" xr:uid="{219A15B2-02FB-994D-9D6F-998EE4BF3C64}"/>
    <hyperlink ref="G11" r:id="rId3" xr:uid="{BE419DF8-FC4E-744C-9669-11C8529E31AB}"/>
    <hyperlink ref="G9" r:id="rId4" xr:uid="{F4A57A93-09F9-6040-92C8-E34DB522461B}"/>
    <hyperlink ref="G12" r:id="rId5" xr:uid="{330A79EB-D306-0244-B719-A76E4DC85565}"/>
    <hyperlink ref="G13" r:id="rId6" xr:uid="{B8BCF69D-89E1-B243-89F7-17DD62E5579B}"/>
    <hyperlink ref="G14" r:id="rId7" xr:uid="{86358233-E558-6C45-8591-11F0EBA375F4}"/>
    <hyperlink ref="G10" r:id="rId8" xr:uid="{61D08AE0-5F4E-6849-B02A-6D7E8CC9EBDD}"/>
    <hyperlink ref="G17" r:id="rId9" xr:uid="{F1A994EA-3AF3-D541-B6DA-E920A5CCF4B2}"/>
    <hyperlink ref="G18" r:id="rId10" xr:uid="{FD12BF88-7358-AE4C-98AA-CABAC1B34391}"/>
    <hyperlink ref="G19" r:id="rId11" xr:uid="{E8CA2594-6FB1-3A4B-94D2-DCF1A42A1DA2}"/>
    <hyperlink ref="G20" r:id="rId12" xr:uid="{4875F4A4-632C-344D-AF1E-3EB83A55B0C0}"/>
    <hyperlink ref="G23" r:id="rId13" xr:uid="{D2103BD4-3E59-0D47-8D5B-81AC00352CBC}"/>
    <hyperlink ref="G25" r:id="rId14" xr:uid="{1151791C-3D16-BB4D-95D4-F03CF617918D}"/>
    <hyperlink ref="G26" r:id="rId15" xr:uid="{D832A5F5-4B79-724B-8BC1-CC29D2EDDE9E}"/>
    <hyperlink ref="G28" r:id="rId16" xr:uid="{8208C4DF-A948-514D-9F2C-70BC2118EBD6}"/>
    <hyperlink ref="G31" r:id="rId17" xr:uid="{DAA99DD1-8284-0D44-8A7B-852E1A6354C6}"/>
    <hyperlink ref="G32" r:id="rId18" xr:uid="{601739EC-DF0E-1345-B071-F9FD5AB31EBE}"/>
    <hyperlink ref="G2" r:id="rId19" xr:uid="{8B4D4C10-FC1C-C649-95C1-458FA5B15B15}"/>
    <hyperlink ref="G3" r:id="rId20" xr:uid="{99C55EE2-C4DB-AF42-ACF6-961555958126}"/>
    <hyperlink ref="G4" r:id="rId21" xr:uid="{A2CEBEEA-D47E-2447-9191-72B29DC48E29}"/>
    <hyperlink ref="G5" r:id="rId22" xr:uid="{6020D79F-B9D8-2D46-A2A9-C837D4FE119A}"/>
    <hyperlink ref="G7" r:id="rId23" xr:uid="{862CCD58-375E-924C-91EB-26447CC4DF8A}"/>
    <hyperlink ref="G15" r:id="rId24" xr:uid="{82E4F749-850C-F74C-879F-A9DC259209FA}"/>
    <hyperlink ref="G16" r:id="rId25" xr:uid="{9AC2DE89-81F4-6549-9EFE-0B57B9822AD6}"/>
    <hyperlink ref="G21" r:id="rId26" xr:uid="{5BE0D85C-07ED-904D-86F1-96C74CF89AE5}"/>
    <hyperlink ref="G22" r:id="rId27" xr:uid="{A9C6921D-55B0-F448-B89A-8AFD5CDFCC54}"/>
    <hyperlink ref="G24" r:id="rId28" xr:uid="{813CD333-84F4-5F4C-9DCC-B0B2288D9DF0}"/>
    <hyperlink ref="G27" r:id="rId29" xr:uid="{62BAFC67-C9AB-844D-BE78-51803C11DF84}"/>
    <hyperlink ref="G29" r:id="rId30" xr:uid="{615EBD0D-0370-9C4F-A652-6F917AF6646B}"/>
    <hyperlink ref="G30" r:id="rId31" xr:uid="{05CB514D-CF15-4743-AC82-2D0AAC298943}"/>
  </hyperlink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4"/>
  <sheetViews>
    <sheetView workbookViewId="0">
      <selection activeCell="B2" sqref="B2"/>
    </sheetView>
  </sheetViews>
  <sheetFormatPr baseColWidth="10" defaultRowHeight="125" customHeight="1"/>
  <cols>
    <col min="1" max="1" width="15.1640625" customWidth="1"/>
    <col min="2" max="2" width="101.33203125" customWidth="1"/>
  </cols>
  <sheetData>
    <row r="1" spans="1:5" ht="125" customHeight="1">
      <c r="A1" s="22" t="s">
        <v>153</v>
      </c>
      <c r="B1" s="51"/>
    </row>
    <row r="2" spans="1:5" ht="125" customHeight="1">
      <c r="A2" s="22" t="s">
        <v>172</v>
      </c>
      <c r="B2" s="6"/>
      <c r="E2" s="50"/>
    </row>
    <row r="3" spans="1:5" ht="125" customHeight="1">
      <c r="A3" s="22" t="s">
        <v>147</v>
      </c>
      <c r="B3" s="17"/>
      <c r="E3" s="50"/>
    </row>
    <row r="4" spans="1:5" ht="125" customHeight="1">
      <c r="A4" s="22" t="s">
        <v>148</v>
      </c>
      <c r="B4" s="6"/>
    </row>
    <row r="5" spans="1:5" ht="125" customHeight="1">
      <c r="A5" s="14" t="s">
        <v>11</v>
      </c>
      <c r="B5" s="6"/>
    </row>
    <row r="6" spans="1:5" ht="125" customHeight="1">
      <c r="A6" s="21" t="s">
        <v>218</v>
      </c>
      <c r="B6" s="6"/>
    </row>
    <row r="7" spans="1:5" ht="125" customHeight="1">
      <c r="A7" s="15" t="s">
        <v>105</v>
      </c>
      <c r="B7" s="17"/>
    </row>
    <row r="8" spans="1:5" ht="125" customHeight="1">
      <c r="A8" s="14" t="s">
        <v>8</v>
      </c>
      <c r="B8" s="17"/>
    </row>
    <row r="9" spans="1:5" ht="125" customHeight="1">
      <c r="A9" s="14" t="s">
        <v>134</v>
      </c>
      <c r="B9" s="17"/>
    </row>
    <row r="10" spans="1:5" ht="125" customHeight="1">
      <c r="A10" s="15" t="s">
        <v>14</v>
      </c>
      <c r="B10" s="6"/>
    </row>
    <row r="11" spans="1:5" ht="125" customHeight="1">
      <c r="A11" s="14" t="s">
        <v>78</v>
      </c>
      <c r="B11" s="17"/>
    </row>
    <row r="12" spans="1:5" ht="125" customHeight="1">
      <c r="A12" s="14" t="s">
        <v>9</v>
      </c>
      <c r="B12" s="17"/>
    </row>
    <row r="13" spans="1:5" ht="125" customHeight="1">
      <c r="A13" s="14" t="s">
        <v>15</v>
      </c>
      <c r="B13" s="6"/>
    </row>
    <row r="14" spans="1:5" ht="125" customHeight="1">
      <c r="A14" s="21" t="s">
        <v>149</v>
      </c>
      <c r="B14" s="29"/>
    </row>
    <row r="15" spans="1:5" ht="125" customHeight="1">
      <c r="A15" s="21" t="s">
        <v>152</v>
      </c>
      <c r="B15" s="29"/>
    </row>
    <row r="16" spans="1:5" ht="125" customHeight="1">
      <c r="A16" s="14" t="s">
        <v>23</v>
      </c>
      <c r="B16" s="6"/>
    </row>
    <row r="17" spans="1:2" ht="125" customHeight="1">
      <c r="A17" s="14" t="s">
        <v>13</v>
      </c>
      <c r="B17" s="6"/>
    </row>
    <row r="18" spans="1:2" ht="125" customHeight="1">
      <c r="A18" s="14" t="s">
        <v>52</v>
      </c>
      <c r="B18" s="17"/>
    </row>
    <row r="19" spans="1:2" ht="125" customHeight="1">
      <c r="A19" s="14" t="s">
        <v>133</v>
      </c>
      <c r="B19" s="17"/>
    </row>
    <row r="20" spans="1:2" ht="125" customHeight="1">
      <c r="A20" s="14" t="s">
        <v>150</v>
      </c>
      <c r="B20" s="17"/>
    </row>
    <row r="21" spans="1:2" ht="125" customHeight="1">
      <c r="A21" s="21" t="s">
        <v>171</v>
      </c>
      <c r="B21" s="17"/>
    </row>
    <row r="22" spans="1:2" ht="125" customHeight="1">
      <c r="A22" s="14" t="s">
        <v>217</v>
      </c>
      <c r="B22" s="6"/>
    </row>
    <row r="23" spans="1:2" ht="125" customHeight="1">
      <c r="A23" s="9" t="s">
        <v>146</v>
      </c>
      <c r="B23" s="17"/>
    </row>
    <row r="24" spans="1:2" ht="125" customHeight="1">
      <c r="A24" s="15" t="s">
        <v>29</v>
      </c>
      <c r="B24" s="17"/>
    </row>
    <row r="25" spans="1:2" ht="125" customHeight="1">
      <c r="A25" s="15" t="s">
        <v>3</v>
      </c>
      <c r="B25" s="6"/>
    </row>
    <row r="26" spans="1:2" ht="125" customHeight="1">
      <c r="A26" s="21" t="s">
        <v>151</v>
      </c>
      <c r="B26" s="17"/>
    </row>
    <row r="27" spans="1:2" ht="125" customHeight="1">
      <c r="A27" s="14" t="s">
        <v>55</v>
      </c>
      <c r="B27" s="17"/>
    </row>
    <row r="28" spans="1:2" ht="125" customHeight="1">
      <c r="A28" s="21" t="s">
        <v>154</v>
      </c>
      <c r="B28" s="17"/>
    </row>
    <row r="29" spans="1:2" ht="125" customHeight="1">
      <c r="A29" s="21" t="s">
        <v>32</v>
      </c>
      <c r="B29" s="17"/>
    </row>
    <row r="30" spans="1:2" ht="125" customHeight="1">
      <c r="A30" s="16" t="s">
        <v>33</v>
      </c>
      <c r="B30" s="17"/>
    </row>
    <row r="31" spans="1:2" ht="125" customHeight="1">
      <c r="A31" s="14" t="s">
        <v>12</v>
      </c>
      <c r="B31" s="6"/>
    </row>
    <row r="32" spans="1:2" ht="125" customHeight="1">
      <c r="A32" s="26"/>
    </row>
    <row r="33" spans="1:1" ht="125" customHeight="1">
      <c r="A33" s="26"/>
    </row>
    <row r="34" spans="1:1" ht="125" customHeight="1">
      <c r="A34" s="26"/>
    </row>
    <row r="35" spans="1:1" ht="125" customHeight="1">
      <c r="A35" s="26"/>
    </row>
    <row r="36" spans="1:1" ht="125" customHeight="1">
      <c r="A36" s="26"/>
    </row>
    <row r="37" spans="1:1" ht="125" customHeight="1">
      <c r="A37" s="26"/>
    </row>
    <row r="38" spans="1:1" ht="125" customHeight="1">
      <c r="A38" s="26"/>
    </row>
    <row r="39" spans="1:1" ht="125" customHeight="1">
      <c r="A39" s="26"/>
    </row>
    <row r="40" spans="1:1" ht="125" customHeight="1">
      <c r="A40" s="26"/>
    </row>
    <row r="41" spans="1:1" ht="125" customHeight="1">
      <c r="A41" s="26"/>
    </row>
    <row r="42" spans="1:1" ht="125" customHeight="1">
      <c r="A42" s="26"/>
    </row>
    <row r="43" spans="1:1" ht="125" customHeight="1">
      <c r="A43" s="26"/>
    </row>
    <row r="44" spans="1:1" ht="125" customHeight="1">
      <c r="A44" s="26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Source</vt:lpstr>
      <vt:lpstr>TestDrugs</vt:lpstr>
      <vt:lpstr>DrugNames</vt:lpstr>
      <vt:lpstr>TestInfo</vt:lpstr>
      <vt:lpstr>Text</vt:lpstr>
      <vt:lpstr>TestInfo!Print_Area</vt:lpstr>
    </vt:vector>
  </TitlesOfParts>
  <Company>Charm Sciences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 Sciences, Inc.</dc:creator>
  <cp:lastModifiedBy>Alana Schwartz</cp:lastModifiedBy>
  <cp:lastPrinted>2018-02-28T20:54:55Z</cp:lastPrinted>
  <dcterms:created xsi:type="dcterms:W3CDTF">2017-10-19T13:35:15Z</dcterms:created>
  <dcterms:modified xsi:type="dcterms:W3CDTF">2019-01-24T09:40:19Z</dcterms:modified>
</cp:coreProperties>
</file>